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limat\Documents\MUSLIMAT\Destop\SOC\SOC 2020\Final\"/>
    </mc:Choice>
  </mc:AlternateContent>
  <bookViews>
    <workbookView xWindow="0" yWindow="0" windowWidth="28800" windowHeight="11700" tabRatio="844"/>
  </bookViews>
  <sheets>
    <sheet name="2-1 " sheetId="180" r:id="rId1"/>
    <sheet name="2-2" sheetId="181" r:id="rId2"/>
    <sheet name="2-3" sheetId="197" r:id="rId3"/>
    <sheet name="2-4" sheetId="198" r:id="rId4"/>
    <sheet name="2-5" sheetId="148" r:id="rId5"/>
    <sheet name="2-6" sheetId="140" r:id="rId6"/>
    <sheet name="2-7" sheetId="149" r:id="rId7"/>
    <sheet name="2-8" sheetId="199" r:id="rId8"/>
    <sheet name="2-9" sheetId="200" r:id="rId9"/>
    <sheet name="2-10" sheetId="190" r:id="rId10"/>
    <sheet name="2-11" sheetId="183" r:id="rId11"/>
    <sheet name="2-12" sheetId="184" r:id="rId12"/>
    <sheet name="2-13" sheetId="150" r:id="rId13"/>
    <sheet name="2-14" sheetId="191" r:id="rId14"/>
    <sheet name="2-15" sheetId="91" r:id="rId15"/>
    <sheet name="2-16" sheetId="195" r:id="rId16"/>
    <sheet name="2-17" sheetId="196" r:id="rId17"/>
    <sheet name="2-18" sheetId="186" r:id="rId18"/>
    <sheet name="2-19" sheetId="187" r:id="rId19"/>
    <sheet name="2-20" sheetId="193" r:id="rId20"/>
    <sheet name="2-21" sheetId="194" r:id="rId21"/>
    <sheet name="2-22" sheetId="30" r:id="rId22"/>
    <sheet name="2-23" sheetId="185" r:id="rId23"/>
    <sheet name="2-24" sheetId="170" r:id="rId24"/>
    <sheet name="2-25" sheetId="171" r:id="rId25"/>
    <sheet name="2-26" sheetId="172" r:id="rId26"/>
    <sheet name="2-27" sheetId="173" r:id="rId27"/>
    <sheet name="2-28" sheetId="174" r:id="rId28"/>
    <sheet name="2-29" sheetId="175" r:id="rId29"/>
    <sheet name="2-30" sheetId="158" r:id="rId30"/>
    <sheet name="2-31" sheetId="159" r:id="rId31"/>
    <sheet name="2-32" sheetId="176" r:id="rId32"/>
    <sheet name="2-33" sheetId="161" r:id="rId33"/>
    <sheet name="2-34" sheetId="162" r:id="rId34"/>
    <sheet name="2-35" sheetId="192" r:id="rId35"/>
    <sheet name="2-36" sheetId="164" r:id="rId36"/>
    <sheet name="2-37" sheetId="177" r:id="rId37"/>
    <sheet name="2-38" sheetId="178" r:id="rId38"/>
    <sheet name="2-39" sheetId="179" r:id="rId39"/>
    <sheet name="2-40" sheetId="168" r:id="rId40"/>
    <sheet name="2-41" sheetId="169" r:id="rId41"/>
  </sheets>
  <externalReferences>
    <externalReference r:id="rId42"/>
    <externalReference r:id="rId43"/>
  </externalReferences>
  <definedNames>
    <definedName name="______________VOL80" localSheetId="13">#REF!</definedName>
    <definedName name="______________VOL80">#REF!</definedName>
    <definedName name="_____________VOL80" localSheetId="13">#REF!</definedName>
    <definedName name="_____________VOL80">#REF!</definedName>
    <definedName name="____________RSS1" localSheetId="13">#REF!</definedName>
    <definedName name="____________RSS1">#REF!</definedName>
    <definedName name="____________VOL80" localSheetId="13">#REF!</definedName>
    <definedName name="____________VOL80">#REF!</definedName>
    <definedName name="___________RSS1" localSheetId="13">#REF!</definedName>
    <definedName name="___________RSS1">#REF!</definedName>
    <definedName name="___________VOL80" localSheetId="13">#REF!</definedName>
    <definedName name="___________VOL80">#REF!</definedName>
    <definedName name="__________RSS1" localSheetId="13">#REF!</definedName>
    <definedName name="__________RSS1">#REF!</definedName>
    <definedName name="__________VOL80" localSheetId="13">#REF!</definedName>
    <definedName name="__________VOL80">#REF!</definedName>
    <definedName name="_________RSS1" localSheetId="13">#REF!</definedName>
    <definedName name="_________RSS1">#REF!</definedName>
    <definedName name="_________VOL80" localSheetId="13">#REF!</definedName>
    <definedName name="_________VOL80">#REF!</definedName>
    <definedName name="________RSS1" localSheetId="13">#REF!</definedName>
    <definedName name="________RSS1">#REF!</definedName>
    <definedName name="________VOL80" localSheetId="13">#REF!</definedName>
    <definedName name="________VOL80">#REF!</definedName>
    <definedName name="_______RSS1" localSheetId="13">#REF!</definedName>
    <definedName name="_______RSS1">#REF!</definedName>
    <definedName name="_______VOL80" localSheetId="13">#REF!</definedName>
    <definedName name="_______VOL80">#REF!</definedName>
    <definedName name="______RSS1" localSheetId="13">#REF!</definedName>
    <definedName name="______RSS1">#REF!</definedName>
    <definedName name="______VOL80" localSheetId="13">#REF!</definedName>
    <definedName name="______VOL80">#REF!</definedName>
    <definedName name="_____RSS1" localSheetId="13">#REF!</definedName>
    <definedName name="_____RSS1">#REF!</definedName>
    <definedName name="_____VOL80" localSheetId="13">#REF!</definedName>
    <definedName name="_____VOL80">#REF!</definedName>
    <definedName name="____RSS1" localSheetId="13">#REF!</definedName>
    <definedName name="____RSS1">#REF!</definedName>
    <definedName name="____VOL80" localSheetId="13">#REF!</definedName>
    <definedName name="____VOL80">#REF!</definedName>
    <definedName name="___RSS1" localSheetId="13">#REF!</definedName>
    <definedName name="___RSS1">#REF!</definedName>
    <definedName name="___VOL80" localSheetId="10">#REF!</definedName>
    <definedName name="___VOL80" localSheetId="13">#REF!</definedName>
    <definedName name="___VOL80" localSheetId="17">#REF!</definedName>
    <definedName name="___VOL80" localSheetId="18">#REF!</definedName>
    <definedName name="___VOL80" localSheetId="19">#REF!</definedName>
    <definedName name="___VOL80" localSheetId="20">#REF!</definedName>
    <definedName name="___VOL80" localSheetId="23">#REF!</definedName>
    <definedName name="___VOL80" localSheetId="24">#REF!</definedName>
    <definedName name="___VOL80" localSheetId="25">#REF!</definedName>
    <definedName name="___VOL80" localSheetId="26">#REF!</definedName>
    <definedName name="___VOL80" localSheetId="27">#REF!</definedName>
    <definedName name="___VOL80" localSheetId="28">#REF!</definedName>
    <definedName name="___VOL80" localSheetId="31">#REF!</definedName>
    <definedName name="___VOL80" localSheetId="36">#REF!</definedName>
    <definedName name="___VOL80" localSheetId="37">#REF!</definedName>
    <definedName name="___VOL80" localSheetId="38">#REF!</definedName>
    <definedName name="___VOL80">#REF!</definedName>
    <definedName name="__RSS1" localSheetId="13">#REF!</definedName>
    <definedName name="__RSS1" localSheetId="19">#REF!</definedName>
    <definedName name="__RSS1" localSheetId="20">#REF!</definedName>
    <definedName name="__RSS1">#REF!</definedName>
    <definedName name="__VOL80" localSheetId="10">#REF!</definedName>
    <definedName name="__VOL80" localSheetId="12">#REF!</definedName>
    <definedName name="__VOL80" localSheetId="13">#REF!</definedName>
    <definedName name="__VOL80" localSheetId="17">#REF!</definedName>
    <definedName name="__VOL80" localSheetId="18">#REF!</definedName>
    <definedName name="__VOL80" localSheetId="19">#REF!</definedName>
    <definedName name="__VOL80" localSheetId="20">#REF!</definedName>
    <definedName name="__VOL80" localSheetId="23">#REF!</definedName>
    <definedName name="__VOL80" localSheetId="24">#REF!</definedName>
    <definedName name="__VOL80" localSheetId="25">#REF!</definedName>
    <definedName name="__VOL80" localSheetId="26">#REF!</definedName>
    <definedName name="__VOL80" localSheetId="27">#REF!</definedName>
    <definedName name="__VOL80" localSheetId="28">#REF!</definedName>
    <definedName name="__VOL80" localSheetId="31">#REF!</definedName>
    <definedName name="__VOL80" localSheetId="36">#REF!</definedName>
    <definedName name="__VOL80" localSheetId="37">#REF!</definedName>
    <definedName name="__VOL80" localSheetId="38">#REF!</definedName>
    <definedName name="__VOL80" localSheetId="40">#REF!</definedName>
    <definedName name="__VOL80">#REF!</definedName>
    <definedName name="_1__123Graph_ACHART_1" localSheetId="0" hidden="1">'2-1 '!$F$42:$K$42</definedName>
    <definedName name="_10Excel_BuiltIn_Print_Area_1_1_1" localSheetId="12">#REF!</definedName>
    <definedName name="_11Excel_BuiltIn_Print_Area_1_1_1" localSheetId="10">#REF!</definedName>
    <definedName name="_11Excel_BuiltIn_Print_Area_1_1_1" localSheetId="13">#REF!</definedName>
    <definedName name="_11Excel_BuiltIn_Print_Area_1_1_1" localSheetId="17">#REF!</definedName>
    <definedName name="_11Excel_BuiltIn_Print_Area_1_1_1" localSheetId="18">#REF!</definedName>
    <definedName name="_11Excel_BuiltIn_Print_Area_1_1_1" localSheetId="19">#REF!</definedName>
    <definedName name="_11Excel_BuiltIn_Print_Area_1_1_1" localSheetId="20">#REF!</definedName>
    <definedName name="_11Excel_BuiltIn_Print_Area_1_1_1" localSheetId="23">#REF!</definedName>
    <definedName name="_11Excel_BuiltIn_Print_Area_1_1_1" localSheetId="24">#REF!</definedName>
    <definedName name="_11Excel_BuiltIn_Print_Area_1_1_1" localSheetId="25">#REF!</definedName>
    <definedName name="_11Excel_BuiltIn_Print_Area_1_1_1" localSheetId="26">#REF!</definedName>
    <definedName name="_11Excel_BuiltIn_Print_Area_1_1_1" localSheetId="27">#REF!</definedName>
    <definedName name="_11Excel_BuiltIn_Print_Area_1_1_1" localSheetId="28">#REF!</definedName>
    <definedName name="_11Excel_BuiltIn_Print_Area_1_1_1" localSheetId="31">#REF!</definedName>
    <definedName name="_11Excel_BuiltIn_Print_Area_1_1_1" localSheetId="36">#REF!</definedName>
    <definedName name="_11Excel_BuiltIn_Print_Area_1_1_1" localSheetId="37">#REF!</definedName>
    <definedName name="_11Excel_BuiltIn_Print_Area_1_1_1" localSheetId="38">#REF!</definedName>
    <definedName name="_11Excel_BuiltIn_Print_Area_1_1_1">#REF!</definedName>
    <definedName name="_1Excel_BuiltIn_Print_Area_1_1" localSheetId="0">#REF!</definedName>
    <definedName name="_1Excel_BuiltIn_Print_Area_1_1" localSheetId="10">#REF!</definedName>
    <definedName name="_1Excel_BuiltIn_Print_Area_1_1" localSheetId="12">#REF!</definedName>
    <definedName name="_1Excel_BuiltIn_Print_Area_1_1" localSheetId="13">#REF!</definedName>
    <definedName name="_1Excel_BuiltIn_Print_Area_1_1" localSheetId="17">#REF!</definedName>
    <definedName name="_1Excel_BuiltIn_Print_Area_1_1" localSheetId="18">#REF!</definedName>
    <definedName name="_1Excel_BuiltIn_Print_Area_1_1" localSheetId="19">#REF!</definedName>
    <definedName name="_1Excel_BuiltIn_Print_Area_1_1" localSheetId="20">#REF!</definedName>
    <definedName name="_1Excel_BuiltIn_Print_Area_1_1" localSheetId="23">#REF!</definedName>
    <definedName name="_1Excel_BuiltIn_Print_Area_1_1" localSheetId="24">#REF!</definedName>
    <definedName name="_1Excel_BuiltIn_Print_Area_1_1" localSheetId="25">#REF!</definedName>
    <definedName name="_1Excel_BuiltIn_Print_Area_1_1" localSheetId="26">#REF!</definedName>
    <definedName name="_1Excel_BuiltIn_Print_Area_1_1" localSheetId="27">#REF!</definedName>
    <definedName name="_1Excel_BuiltIn_Print_Area_1_1" localSheetId="28">#REF!</definedName>
    <definedName name="_1Excel_BuiltIn_Print_Area_1_1" localSheetId="31">#REF!</definedName>
    <definedName name="_1Excel_BuiltIn_Print_Area_1_1" localSheetId="36">#REF!</definedName>
    <definedName name="_1Excel_BuiltIn_Print_Area_1_1" localSheetId="37">#REF!</definedName>
    <definedName name="_1Excel_BuiltIn_Print_Area_1_1" localSheetId="38">#REF!</definedName>
    <definedName name="_1Excel_BuiltIn_Print_Area_1_1" localSheetId="40">#REF!</definedName>
    <definedName name="_1Excel_BuiltIn_Print_Area_1_1" localSheetId="4">#REF!</definedName>
    <definedName name="_1Excel_BuiltIn_Print_Area_1_1" localSheetId="5">#REF!</definedName>
    <definedName name="_1Excel_BuiltIn_Print_Area_1_1">#REF!</definedName>
    <definedName name="_2__123Graph_ACHART_2" localSheetId="0" hidden="1">'2-1 '!$F$40:$K$40</definedName>
    <definedName name="_2Excel_BuiltIn_Print_Area_1_1" localSheetId="10">#REF!</definedName>
    <definedName name="_2Excel_BuiltIn_Print_Area_1_1" localSheetId="13">#REF!</definedName>
    <definedName name="_2Excel_BuiltIn_Print_Area_1_1" localSheetId="17">#REF!</definedName>
    <definedName name="_2Excel_BuiltIn_Print_Area_1_1" localSheetId="18">#REF!</definedName>
    <definedName name="_2Excel_BuiltIn_Print_Area_1_1" localSheetId="19">#REF!</definedName>
    <definedName name="_2Excel_BuiltIn_Print_Area_1_1" localSheetId="20">#REF!</definedName>
    <definedName name="_2Excel_BuiltIn_Print_Area_1_1" localSheetId="23">#REF!</definedName>
    <definedName name="_2Excel_BuiltIn_Print_Area_1_1" localSheetId="24">#REF!</definedName>
    <definedName name="_2Excel_BuiltIn_Print_Area_1_1" localSheetId="25">#REF!</definedName>
    <definedName name="_2Excel_BuiltIn_Print_Area_1_1" localSheetId="26">#REF!</definedName>
    <definedName name="_2Excel_BuiltIn_Print_Area_1_1" localSheetId="27">#REF!</definedName>
    <definedName name="_2Excel_BuiltIn_Print_Area_1_1" localSheetId="28">#REF!</definedName>
    <definedName name="_2Excel_BuiltIn_Print_Area_1_1" localSheetId="31">#REF!</definedName>
    <definedName name="_2Excel_BuiltIn_Print_Area_1_1" localSheetId="36">#REF!</definedName>
    <definedName name="_2Excel_BuiltIn_Print_Area_1_1" localSheetId="37">#REF!</definedName>
    <definedName name="_2Excel_BuiltIn_Print_Area_1_1" localSheetId="38">#REF!</definedName>
    <definedName name="_2Excel_BuiltIn_Print_Area_1_1" localSheetId="40">#REF!</definedName>
    <definedName name="_2Excel_BuiltIn_Print_Area_1_1">#REF!</definedName>
    <definedName name="_2Excel_BuiltIn_Print_Area_1_1_1" localSheetId="0">#REF!</definedName>
    <definedName name="_2Excel_BuiltIn_Print_Area_1_1_1" localSheetId="10">#REF!</definedName>
    <definedName name="_2Excel_BuiltIn_Print_Area_1_1_1" localSheetId="12">#REF!</definedName>
    <definedName name="_2Excel_BuiltIn_Print_Area_1_1_1" localSheetId="13">#REF!</definedName>
    <definedName name="_2Excel_BuiltIn_Print_Area_1_1_1" localSheetId="17">#REF!</definedName>
    <definedName name="_2Excel_BuiltIn_Print_Area_1_1_1" localSheetId="18">#REF!</definedName>
    <definedName name="_2Excel_BuiltIn_Print_Area_1_1_1" localSheetId="19">#REF!</definedName>
    <definedName name="_2Excel_BuiltIn_Print_Area_1_1_1" localSheetId="20">#REF!</definedName>
    <definedName name="_2Excel_BuiltIn_Print_Area_1_1_1" localSheetId="23">#REF!</definedName>
    <definedName name="_2Excel_BuiltIn_Print_Area_1_1_1" localSheetId="24">#REF!</definedName>
    <definedName name="_2Excel_BuiltIn_Print_Area_1_1_1" localSheetId="25">#REF!</definedName>
    <definedName name="_2Excel_BuiltIn_Print_Area_1_1_1" localSheetId="26">#REF!</definedName>
    <definedName name="_2Excel_BuiltIn_Print_Area_1_1_1" localSheetId="27">#REF!</definedName>
    <definedName name="_2Excel_BuiltIn_Print_Area_1_1_1" localSheetId="28">#REF!</definedName>
    <definedName name="_2Excel_BuiltIn_Print_Area_1_1_1" localSheetId="31">#REF!</definedName>
    <definedName name="_2Excel_BuiltIn_Print_Area_1_1_1" localSheetId="36">#REF!</definedName>
    <definedName name="_2Excel_BuiltIn_Print_Area_1_1_1" localSheetId="37">#REF!</definedName>
    <definedName name="_2Excel_BuiltIn_Print_Area_1_1_1" localSheetId="38">#REF!</definedName>
    <definedName name="_2Excel_BuiltIn_Print_Area_1_1_1" localSheetId="40">#REF!</definedName>
    <definedName name="_2Excel_BuiltIn_Print_Area_1_1_1" localSheetId="4">#REF!</definedName>
    <definedName name="_2Excel_BuiltIn_Print_Area_1_1_1" localSheetId="5">#REF!</definedName>
    <definedName name="_2Excel_BuiltIn_Print_Area_1_1_1">#REF!</definedName>
    <definedName name="_3__123Graph_ACHART_3" localSheetId="0" hidden="1">'2-1 '!$F$41:$K$41</definedName>
    <definedName name="_3Excel_BuiltIn_Print_Area_1_1_1" localSheetId="10">#REF!</definedName>
    <definedName name="_3Excel_BuiltIn_Print_Area_1_1_1" localSheetId="13">#REF!</definedName>
    <definedName name="_3Excel_BuiltIn_Print_Area_1_1_1" localSheetId="17">#REF!</definedName>
    <definedName name="_3Excel_BuiltIn_Print_Area_1_1_1" localSheetId="18">#REF!</definedName>
    <definedName name="_3Excel_BuiltIn_Print_Area_1_1_1" localSheetId="19">#REF!</definedName>
    <definedName name="_3Excel_BuiltIn_Print_Area_1_1_1" localSheetId="20">#REF!</definedName>
    <definedName name="_3Excel_BuiltIn_Print_Area_1_1_1" localSheetId="23">#REF!</definedName>
    <definedName name="_3Excel_BuiltIn_Print_Area_1_1_1" localSheetId="24">#REF!</definedName>
    <definedName name="_3Excel_BuiltIn_Print_Area_1_1_1" localSheetId="25">#REF!</definedName>
    <definedName name="_3Excel_BuiltIn_Print_Area_1_1_1" localSheetId="26">#REF!</definedName>
    <definedName name="_3Excel_BuiltIn_Print_Area_1_1_1" localSheetId="27">#REF!</definedName>
    <definedName name="_3Excel_BuiltIn_Print_Area_1_1_1" localSheetId="28">#REF!</definedName>
    <definedName name="_3Excel_BuiltIn_Print_Area_1_1_1" localSheetId="31">#REF!</definedName>
    <definedName name="_3Excel_BuiltIn_Print_Area_1_1_1" localSheetId="36">#REF!</definedName>
    <definedName name="_3Excel_BuiltIn_Print_Area_1_1_1" localSheetId="37">#REF!</definedName>
    <definedName name="_3Excel_BuiltIn_Print_Area_1_1_1" localSheetId="38">#REF!</definedName>
    <definedName name="_3Excel_BuiltIn_Print_Area_1_1_1" localSheetId="40">#REF!</definedName>
    <definedName name="_3Excel_BuiltIn_Print_Area_1_1_1">#REF!</definedName>
    <definedName name="_4Excel_BuiltIn_Print_Area_1_1" localSheetId="17">'2-18'!$A$1:$A$19</definedName>
    <definedName name="_5Excel_BuiltIn_Print_Area_1_1" localSheetId="21">'2-22'!$A$2:$N$52</definedName>
    <definedName name="_6Excel_BuiltIn_Print_Area_1_1" localSheetId="34">'2-35'!$A$2:$U$33</definedName>
    <definedName name="_7Excel_BuiltIn_Print_Area_1_1" localSheetId="40">'2-41'!$A$2:$F$19</definedName>
    <definedName name="_8Excel_BuiltIn_Print_Area_1_1" localSheetId="12">#REF!</definedName>
    <definedName name="_9Excel_BuiltIn_Print_Area_1_1" localSheetId="10">#REF!</definedName>
    <definedName name="_9Excel_BuiltIn_Print_Area_1_1" localSheetId="13">#REF!</definedName>
    <definedName name="_9Excel_BuiltIn_Print_Area_1_1" localSheetId="17">#REF!</definedName>
    <definedName name="_9Excel_BuiltIn_Print_Area_1_1" localSheetId="18">#REF!</definedName>
    <definedName name="_9Excel_BuiltIn_Print_Area_1_1" localSheetId="19">#REF!</definedName>
    <definedName name="_9Excel_BuiltIn_Print_Area_1_1" localSheetId="20">#REF!</definedName>
    <definedName name="_9Excel_BuiltIn_Print_Area_1_1" localSheetId="23">#REF!</definedName>
    <definedName name="_9Excel_BuiltIn_Print_Area_1_1" localSheetId="24">#REF!</definedName>
    <definedName name="_9Excel_BuiltIn_Print_Area_1_1" localSheetId="25">#REF!</definedName>
    <definedName name="_9Excel_BuiltIn_Print_Area_1_1" localSheetId="26">#REF!</definedName>
    <definedName name="_9Excel_BuiltIn_Print_Area_1_1" localSheetId="27">#REF!</definedName>
    <definedName name="_9Excel_BuiltIn_Print_Area_1_1" localSheetId="28">#REF!</definedName>
    <definedName name="_9Excel_BuiltIn_Print_Area_1_1" localSheetId="31">#REF!</definedName>
    <definedName name="_9Excel_BuiltIn_Print_Area_1_1" localSheetId="36">#REF!</definedName>
    <definedName name="_9Excel_BuiltIn_Print_Area_1_1" localSheetId="37">#REF!</definedName>
    <definedName name="_9Excel_BuiltIn_Print_Area_1_1" localSheetId="38">#REF!</definedName>
    <definedName name="_9Excel_BuiltIn_Print_Area_1_1">#REF!</definedName>
    <definedName name="_A" localSheetId="0">#REF!</definedName>
    <definedName name="_A" localSheetId="10">#REF!</definedName>
    <definedName name="_A" localSheetId="13">#REF!</definedName>
    <definedName name="_A" localSheetId="17">#REF!</definedName>
    <definedName name="_A" localSheetId="18">#REF!</definedName>
    <definedName name="_A" localSheetId="19">#REF!</definedName>
    <definedName name="_A" localSheetId="20">#REF!</definedName>
    <definedName name="_A" localSheetId="23">#REF!</definedName>
    <definedName name="_A" localSheetId="24">#REF!</definedName>
    <definedName name="_A" localSheetId="25">#REF!</definedName>
    <definedName name="_A" localSheetId="26">#REF!</definedName>
    <definedName name="_A" localSheetId="27">#REF!</definedName>
    <definedName name="_A" localSheetId="28">#REF!</definedName>
    <definedName name="_A" localSheetId="31">#REF!</definedName>
    <definedName name="_A" localSheetId="36">#REF!</definedName>
    <definedName name="_A" localSheetId="37">#REF!</definedName>
    <definedName name="_A" localSheetId="38">#REF!</definedName>
    <definedName name="_A">#REF!</definedName>
    <definedName name="_C" localSheetId="10">#REF!</definedName>
    <definedName name="_C" localSheetId="12">#REF!</definedName>
    <definedName name="_C" localSheetId="13">#REF!</definedName>
    <definedName name="_C" localSheetId="17">'2-18'!#REF!</definedName>
    <definedName name="_C" localSheetId="18">#REF!</definedName>
    <definedName name="_C" localSheetId="19">#REF!</definedName>
    <definedName name="_C" localSheetId="20">#REF!</definedName>
    <definedName name="_C" localSheetId="23">#REF!</definedName>
    <definedName name="_C" localSheetId="24">#REF!</definedName>
    <definedName name="_C" localSheetId="25">#REF!</definedName>
    <definedName name="_C" localSheetId="26">#REF!</definedName>
    <definedName name="_C" localSheetId="27">#REF!</definedName>
    <definedName name="_C" localSheetId="28">#REF!</definedName>
    <definedName name="_C" localSheetId="31">#REF!</definedName>
    <definedName name="_C" localSheetId="34">'2-35'!$P$34</definedName>
    <definedName name="_C" localSheetId="36">#REF!</definedName>
    <definedName name="_C" localSheetId="37">#REF!</definedName>
    <definedName name="_C" localSheetId="38">#REF!</definedName>
    <definedName name="_C">#REF!</definedName>
    <definedName name="_C_" localSheetId="0">#REF!</definedName>
    <definedName name="_C_" localSheetId="10">#REF!</definedName>
    <definedName name="_C_" localSheetId="13">#REF!</definedName>
    <definedName name="_C_" localSheetId="17">#REF!</definedName>
    <definedName name="_C_" localSheetId="18">#REF!</definedName>
    <definedName name="_C_" localSheetId="19">#REF!</definedName>
    <definedName name="_C_" localSheetId="20">#REF!</definedName>
    <definedName name="_C_" localSheetId="23">#REF!</definedName>
    <definedName name="_C_" localSheetId="24">#REF!</definedName>
    <definedName name="_C_" localSheetId="25">#REF!</definedName>
    <definedName name="_C_" localSheetId="26">#REF!</definedName>
    <definedName name="_C_" localSheetId="27">#REF!</definedName>
    <definedName name="_C_" localSheetId="28">#REF!</definedName>
    <definedName name="_C_" localSheetId="31">#REF!</definedName>
    <definedName name="_C_" localSheetId="36">#REF!</definedName>
    <definedName name="_C_" localSheetId="37">#REF!</definedName>
    <definedName name="_C_" localSheetId="38">#REF!</definedName>
    <definedName name="_C_">#REF!</definedName>
    <definedName name="_xlnm._FilterDatabase" localSheetId="25" hidden="1">'2-26'!$A$6:$O$27</definedName>
    <definedName name="_P" localSheetId="10">#REF!</definedName>
    <definedName name="_P" localSheetId="12">#REF!</definedName>
    <definedName name="_P" localSheetId="13">#REF!</definedName>
    <definedName name="_P" localSheetId="17">'2-18'!$AK$185</definedName>
    <definedName name="_P" localSheetId="18">#REF!</definedName>
    <definedName name="_P" localSheetId="19">#REF!</definedName>
    <definedName name="_P" localSheetId="20">#REF!</definedName>
    <definedName name="_P" localSheetId="21">'2-22'!$BT$212</definedName>
    <definedName name="_P" localSheetId="23">#REF!</definedName>
    <definedName name="_P" localSheetId="24">#REF!</definedName>
    <definedName name="_P" localSheetId="25">#REF!</definedName>
    <definedName name="_P" localSheetId="26">#REF!</definedName>
    <definedName name="_P" localSheetId="27">#REF!</definedName>
    <definedName name="_P" localSheetId="28">#REF!</definedName>
    <definedName name="_P" localSheetId="31">#REF!</definedName>
    <definedName name="_P" localSheetId="36">#REF!</definedName>
    <definedName name="_P" localSheetId="37">#REF!</definedName>
    <definedName name="_P" localSheetId="38">#REF!</definedName>
    <definedName name="_P">#REF!</definedName>
    <definedName name="_RSS1" localSheetId="13">'[1]3-14'!#REF!</definedName>
    <definedName name="_RSS1" localSheetId="19">'[1]3-14'!#REF!</definedName>
    <definedName name="_RSS1" localSheetId="20">'[1]3-14'!#REF!</definedName>
    <definedName name="_RSS1">'[1]3-14'!#REF!</definedName>
    <definedName name="_VOL80" localSheetId="0">#REF!</definedName>
    <definedName name="_VOL80" localSheetId="10">#REF!</definedName>
    <definedName name="_VOL80" localSheetId="12">#REF!</definedName>
    <definedName name="_VOL80" localSheetId="13">#REF!</definedName>
    <definedName name="_VOL80" localSheetId="17">#REF!</definedName>
    <definedName name="_VOL80" localSheetId="18">#REF!</definedName>
    <definedName name="_VOL80" localSheetId="19">#REF!</definedName>
    <definedName name="_VOL80" localSheetId="20">#REF!</definedName>
    <definedName name="_VOL80" localSheetId="23">#REF!</definedName>
    <definedName name="_VOL80" localSheetId="24">#REF!</definedName>
    <definedName name="_VOL80" localSheetId="25">#REF!</definedName>
    <definedName name="_VOL80" localSheetId="26">#REF!</definedName>
    <definedName name="_VOL80" localSheetId="27">#REF!</definedName>
    <definedName name="_VOL80" localSheetId="28">#REF!</definedName>
    <definedName name="_VOL80" localSheetId="31">#REF!</definedName>
    <definedName name="_VOL80" localSheetId="36">#REF!</definedName>
    <definedName name="_VOL80" localSheetId="37">#REF!</definedName>
    <definedName name="_VOL80" localSheetId="38">#REF!</definedName>
    <definedName name="_VOL80" localSheetId="40">#REF!</definedName>
    <definedName name="_VOL80" localSheetId="4">#REF!</definedName>
    <definedName name="_VOL80" localSheetId="5">#REF!</definedName>
    <definedName name="_VOL80">#REF!</definedName>
    <definedName name="_X" localSheetId="13">'[2]7.11'!#REF!</definedName>
    <definedName name="_X" localSheetId="19">'[2]7.11'!#REF!</definedName>
    <definedName name="_X" localSheetId="20">'[2]7.11'!#REF!</definedName>
    <definedName name="_X">'[2]7.11'!#REF!</definedName>
    <definedName name="_Z" localSheetId="13">#REF!</definedName>
    <definedName name="_Z" localSheetId="19">#REF!</definedName>
    <definedName name="_Z" localSheetId="20">#REF!</definedName>
    <definedName name="_Z">#REF!</definedName>
    <definedName name="AC_Actual_cost_to_date" localSheetId="13">#REF!</definedName>
    <definedName name="AC_Actual_cost_to_date">#REF!</definedName>
    <definedName name="BAC_Budget_at_Completion" localSheetId="13">#REF!</definedName>
    <definedName name="BAC_Budget_at_Completion">#REF!</definedName>
    <definedName name="CPI_Cost_Perf_Index" localSheetId="13">#REF!</definedName>
    <definedName name="CPI_Cost_Perf_Index">#REF!</definedName>
    <definedName name="CV_Cost_Var" localSheetId="13">#REF!</definedName>
    <definedName name="CV_Cost_Var">#REF!</definedName>
    <definedName name="EAC_Estimate_at_Completion" localSheetId="13">#REF!</definedName>
    <definedName name="EAC_Estimate_at_Completion">#REF!</definedName>
    <definedName name="Effort_Expended" localSheetId="13">#REF!</definedName>
    <definedName name="Effort_Expended">#REF!</definedName>
    <definedName name="Effort_Req" localSheetId="13">#REF!</definedName>
    <definedName name="Effort_Req">#REF!</definedName>
    <definedName name="Effort_to_Complete" localSheetId="13">#REF!</definedName>
    <definedName name="Effort_to_Complete">#REF!</definedName>
    <definedName name="Effort_Variance" localSheetId="13">#REF!</definedName>
    <definedName name="Effort_Variance">#REF!</definedName>
    <definedName name="ETC_Estimate_to_Completion" localSheetId="13">#REF!</definedName>
    <definedName name="ETC_Estimate_to_Completion">#REF!</definedName>
    <definedName name="EV_Earned_Value" localSheetId="13">#REF!</definedName>
    <definedName name="EV_Earned_Value">#REF!</definedName>
    <definedName name="Excel_BuiltIn_Print_Area_1" localSheetId="10">#REF!</definedName>
    <definedName name="Excel_BuiltIn_Print_Area_1" localSheetId="12">#REF!</definedName>
    <definedName name="Excel_BuiltIn_Print_Area_1" localSheetId="13">'2-14'!$A$2:$E$67</definedName>
    <definedName name="Excel_BuiltIn_Print_Area_1" localSheetId="17">'2-18'!$A$1:$C$20</definedName>
    <definedName name="Excel_BuiltIn_Print_Area_1" localSheetId="18">#REF!</definedName>
    <definedName name="Excel_BuiltIn_Print_Area_1" localSheetId="19">#REF!</definedName>
    <definedName name="Excel_BuiltIn_Print_Area_1" localSheetId="20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7">#REF!</definedName>
    <definedName name="Excel_BuiltIn_Print_Area_1" localSheetId="28">#REF!</definedName>
    <definedName name="Excel_BuiltIn_Print_Area_1" localSheetId="31">#REF!</definedName>
    <definedName name="Excel_BuiltIn_Print_Area_1" localSheetId="36">#REF!</definedName>
    <definedName name="Excel_BuiltIn_Print_Area_1" localSheetId="37">#REF!</definedName>
    <definedName name="Excel_BuiltIn_Print_Area_1" localSheetId="38">#REF!</definedName>
    <definedName name="Excel_BuiltIn_Print_Area_1">#REF!</definedName>
    <definedName name="Excel_BuiltIn_Print_Area_1_1" localSheetId="10">#REF!</definedName>
    <definedName name="Excel_BuiltIn_Print_Area_1_1" localSheetId="12">#REF!</definedName>
    <definedName name="Excel_BuiltIn_Print_Area_1_1" localSheetId="13">'2-14'!$A$2:$E$69</definedName>
    <definedName name="Excel_BuiltIn_Print_Area_1_1" localSheetId="17">'2-18'!$A$1:$A$19</definedName>
    <definedName name="Excel_BuiltIn_Print_Area_1_1" localSheetId="18">#REF!</definedName>
    <definedName name="Excel_BuiltIn_Print_Area_1_1" localSheetId="19">#REF!</definedName>
    <definedName name="Excel_BuiltIn_Print_Area_1_1" localSheetId="20">#REF!</definedName>
    <definedName name="Excel_BuiltIn_Print_Area_1_1" localSheetId="21">'2-22'!$A$2:$G$42</definedName>
    <definedName name="Excel_BuiltIn_Print_Area_1_1" localSheetId="23">#REF!</definedName>
    <definedName name="Excel_BuiltIn_Print_Area_1_1" localSheetId="24">#REF!</definedName>
    <definedName name="Excel_BuiltIn_Print_Area_1_1" localSheetId="25">#REF!</definedName>
    <definedName name="Excel_BuiltIn_Print_Area_1_1" localSheetId="26">#REF!</definedName>
    <definedName name="Excel_BuiltIn_Print_Area_1_1" localSheetId="27">#REF!</definedName>
    <definedName name="Excel_BuiltIn_Print_Area_1_1" localSheetId="28">#REF!</definedName>
    <definedName name="Excel_BuiltIn_Print_Area_1_1" localSheetId="31">#REF!</definedName>
    <definedName name="Excel_BuiltIn_Print_Area_1_1" localSheetId="36">#REF!</definedName>
    <definedName name="Excel_BuiltIn_Print_Area_1_1" localSheetId="37">#REF!</definedName>
    <definedName name="Excel_BuiltIn_Print_Area_1_1" localSheetId="38">#REF!</definedName>
    <definedName name="Excel_BuiltIn_Print_Area_1_1">#REF!</definedName>
    <definedName name="Excel_BuiltIn_Print_Area_1_1_1" localSheetId="10">#REF!</definedName>
    <definedName name="Excel_BuiltIn_Print_Area_1_1_1" localSheetId="12">#REF!</definedName>
    <definedName name="Excel_BuiltIn_Print_Area_1_1_1" localSheetId="13">'2-14'!$A$2:$E$65</definedName>
    <definedName name="Excel_BuiltIn_Print_Area_1_1_1" localSheetId="17">'2-18'!$A$1:$A$23</definedName>
    <definedName name="Excel_BuiltIn_Print_Area_1_1_1" localSheetId="18">#REF!</definedName>
    <definedName name="Excel_BuiltIn_Print_Area_1_1_1" localSheetId="19">#REF!</definedName>
    <definedName name="Excel_BuiltIn_Print_Area_1_1_1" localSheetId="20">#REF!</definedName>
    <definedName name="Excel_BuiltIn_Print_Area_1_1_1" localSheetId="23">#REF!</definedName>
    <definedName name="Excel_BuiltIn_Print_Area_1_1_1" localSheetId="24">#REF!</definedName>
    <definedName name="Excel_BuiltIn_Print_Area_1_1_1" localSheetId="25">#REF!</definedName>
    <definedName name="Excel_BuiltIn_Print_Area_1_1_1" localSheetId="26">#REF!</definedName>
    <definedName name="Excel_BuiltIn_Print_Area_1_1_1" localSheetId="27">#REF!</definedName>
    <definedName name="Excel_BuiltIn_Print_Area_1_1_1" localSheetId="28">#REF!</definedName>
    <definedName name="Excel_BuiltIn_Print_Area_1_1_1" localSheetId="31">#REF!</definedName>
    <definedName name="Excel_BuiltIn_Print_Area_1_1_1" localSheetId="36">#REF!</definedName>
    <definedName name="Excel_BuiltIn_Print_Area_1_1_1" localSheetId="37">#REF!</definedName>
    <definedName name="Excel_BuiltIn_Print_Area_1_1_1" localSheetId="38">#REF!</definedName>
    <definedName name="Excel_BuiltIn_Print_Area_1_1_1">#REF!</definedName>
    <definedName name="Excel_BuiltIn_Print_Area_1_1_1_1" localSheetId="13">#REF!</definedName>
    <definedName name="Excel_BuiltIn_Print_Area_1_1_1_1">#REF!</definedName>
    <definedName name="Excel_BuiltIn_Print_Area_1_1_1_1_1" localSheetId="13">#REF!</definedName>
    <definedName name="Excel_BuiltIn_Print_Area_1_1_1_1_1">#REF!</definedName>
    <definedName name="Excel_BuiltIn_Print_Area_2" localSheetId="13">#REF!</definedName>
    <definedName name="Excel_BuiltIn_Print_Area_2">#REF!</definedName>
    <definedName name="Excel_BuiltIn_Print_Area_2_1" localSheetId="13">#REF!</definedName>
    <definedName name="Excel_BuiltIn_Print_Area_2_1">#REF!</definedName>
    <definedName name="Excel_BuiltIn_Print_Area_2_1_1" localSheetId="13">#REF!</definedName>
    <definedName name="Excel_BuiltIn_Print_Area_2_1_1">#REF!</definedName>
    <definedName name="mtib0909_x" localSheetId="13">#REF!</definedName>
    <definedName name="mtib0909_x">#REF!</definedName>
    <definedName name="Percent_Effort_Expend" localSheetId="13">#REF!</definedName>
    <definedName name="Percent_Effort_Expend">#REF!</definedName>
    <definedName name="_xlnm.Print_Area" localSheetId="0">'2-1 '!$A$1:$H$38</definedName>
    <definedName name="_xlnm.Print_Area" localSheetId="11">'2-12'!$A$1:$N$22</definedName>
    <definedName name="_xlnm.Print_Area" localSheetId="12">'2-13'!$A$1:$E$30</definedName>
    <definedName name="_xlnm.Print_Area" localSheetId="13">'2-14'!$A$1:$E$47</definedName>
    <definedName name="_xlnm.Print_Area" localSheetId="14">'2-15'!$A$1:$E$21</definedName>
    <definedName name="_xlnm.Print_Area" localSheetId="16">'2-17'!$A$1:$M$36</definedName>
    <definedName name="_xlnm.Print_Area" localSheetId="17">'2-18'!$A$1:$W$20</definedName>
    <definedName name="_xlnm.Print_Area" localSheetId="18">'2-19'!$A$1:$X$33</definedName>
    <definedName name="_xlnm.Print_Area" localSheetId="1">'2-2'!$A$1:$E$26</definedName>
    <definedName name="_xlnm.Print_Area" localSheetId="19">'2-20'!$A$1:$X$33</definedName>
    <definedName name="_xlnm.Print_Area" localSheetId="20">'2-21'!$A$1:$X$33</definedName>
    <definedName name="_xlnm.Print_Area" localSheetId="21">'2-22'!$A$1:$G$39</definedName>
    <definedName name="_xlnm.Print_Area" localSheetId="22">'2-23'!$A$1:$G$28</definedName>
    <definedName name="_xlnm.Print_Area" localSheetId="23">'2-24'!$A$1:$T$29</definedName>
    <definedName name="_xlnm.Print_Area" localSheetId="24">'2-25'!$A$1:$T$29</definedName>
    <definedName name="_xlnm.Print_Area" localSheetId="25">'2-26'!$A$1:$T$29</definedName>
    <definedName name="_xlnm.Print_Area" localSheetId="26">'2-27'!$A$1:$T$29</definedName>
    <definedName name="_xlnm.Print_Area" localSheetId="27">'2-28'!$A$1:$T$29</definedName>
    <definedName name="_xlnm.Print_Area" localSheetId="28">'2-29'!$A$1:$T$29</definedName>
    <definedName name="_xlnm.Print_Area" localSheetId="2">'2-3'!$A$1:$D$22</definedName>
    <definedName name="_xlnm.Print_Area" localSheetId="29">'2-30'!$A$1:$T$25</definedName>
    <definedName name="_xlnm.Print_Area" localSheetId="30">'2-31'!$A$1:$T$21</definedName>
    <definedName name="_xlnm.Print_Area" localSheetId="31">'2-32'!$A$1:$T$32</definedName>
    <definedName name="_xlnm.Print_Area" localSheetId="32">'2-33'!$A$1:$T$25</definedName>
    <definedName name="_xlnm.Print_Area" localSheetId="33">'2-34'!$A$1:$M$33</definedName>
    <definedName name="_xlnm.Print_Area" localSheetId="34">'2-35'!$A$1:$M$32</definedName>
    <definedName name="_xlnm.Print_Area" localSheetId="35">'2-36'!$A$1:$M$45</definedName>
    <definedName name="_xlnm.Print_Area" localSheetId="36">'2-37'!$A$1:$T$25</definedName>
    <definedName name="_xlnm.Print_Area" localSheetId="37">'2-38'!$A$1:$T$23</definedName>
    <definedName name="_xlnm.Print_Area" localSheetId="38">'2-39'!$A$1:$T$22</definedName>
    <definedName name="_xlnm.Print_Area" localSheetId="39">'2-40'!$A$1:$T$24</definedName>
    <definedName name="_xlnm.Print_Area" localSheetId="40">'2-41'!$A$1:$F$18</definedName>
    <definedName name="_xlnm.Print_Area" localSheetId="4">'2-5'!$A$1:$V$20</definedName>
    <definedName name="_xlnm.Print_Area" localSheetId="5">'2-6'!$A$1:$D$29</definedName>
    <definedName name="_xlnm.Print_Area" localSheetId="6">'2-7'!$A$1:$E$21</definedName>
    <definedName name="_xlnm.Print_Area">#REF!</definedName>
    <definedName name="Print_Area_MI" localSheetId="13">#REF!</definedName>
    <definedName name="Print_Area_MI">#REF!</definedName>
    <definedName name="PV_Planned_Value" localSheetId="13">#REF!</definedName>
    <definedName name="PV_Planned_Value">#REF!</definedName>
    <definedName name="SMR" localSheetId="13">#REF!</definedName>
    <definedName name="SMR">#REF!</definedName>
    <definedName name="SPI_Sch_Perf_Index" localSheetId="13">#REF!</definedName>
    <definedName name="SPI_Sch_Perf_Index">#REF!</definedName>
    <definedName name="SV_Sch_Var" localSheetId="13">#REF!</definedName>
    <definedName name="SV_Sch_Var">#REF!</definedName>
    <definedName name="SV_Sch_Variance" localSheetId="13">#REF!</definedName>
    <definedName name="SV_Sch_Variance">#REF!</definedName>
    <definedName name="YEAR" localSheetId="13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E15" i="169" l="1"/>
  <c r="C15" i="169"/>
  <c r="E14" i="169"/>
  <c r="C14" i="169"/>
  <c r="E13" i="169"/>
  <c r="C13" i="169"/>
  <c r="E12" i="169"/>
  <c r="C12" i="169"/>
  <c r="E11" i="169"/>
  <c r="C11" i="169"/>
  <c r="E10" i="169"/>
  <c r="C10" i="169"/>
  <c r="F9" i="169"/>
  <c r="F8" i="169"/>
  <c r="T20" i="168"/>
  <c r="S20" i="168"/>
  <c r="R20" i="168"/>
  <c r="Q20" i="168"/>
  <c r="P20" i="168"/>
  <c r="O20" i="168"/>
  <c r="N20" i="168"/>
  <c r="M20" i="168"/>
  <c r="L20" i="168"/>
  <c r="K20" i="168"/>
  <c r="J20" i="168"/>
  <c r="I20" i="168"/>
  <c r="H20" i="168"/>
  <c r="G20" i="168"/>
  <c r="F20" i="168"/>
  <c r="E20" i="168"/>
  <c r="D20" i="168"/>
  <c r="C20" i="168"/>
  <c r="B20" i="168"/>
  <c r="T18" i="179"/>
  <c r="S18" i="179"/>
  <c r="R18" i="179"/>
  <c r="Q18" i="179"/>
  <c r="P18" i="179"/>
  <c r="O18" i="179"/>
  <c r="N18" i="179"/>
  <c r="M18" i="179"/>
  <c r="L18" i="179"/>
  <c r="K18" i="179"/>
  <c r="J18" i="179"/>
  <c r="I18" i="179"/>
  <c r="H18" i="179"/>
  <c r="G18" i="179"/>
  <c r="F18" i="179"/>
  <c r="E18" i="179"/>
  <c r="D18" i="179"/>
  <c r="C18" i="179"/>
  <c r="B18" i="179"/>
  <c r="T19" i="178"/>
  <c r="S19" i="178"/>
  <c r="R19" i="178"/>
  <c r="Q19" i="178"/>
  <c r="P19" i="178"/>
  <c r="O19" i="178"/>
  <c r="N19" i="178"/>
  <c r="M19" i="178"/>
  <c r="L19" i="178"/>
  <c r="K19" i="178"/>
  <c r="J19" i="178"/>
  <c r="I19" i="178"/>
  <c r="H19" i="178"/>
  <c r="G19" i="178"/>
  <c r="F19" i="178"/>
  <c r="E19" i="178"/>
  <c r="D19" i="178"/>
  <c r="C19" i="178"/>
  <c r="B19" i="178"/>
  <c r="I23" i="177"/>
  <c r="H23" i="177"/>
  <c r="G23" i="177"/>
  <c r="F23" i="177"/>
  <c r="E23" i="177"/>
  <c r="D23" i="177"/>
  <c r="C23" i="177"/>
  <c r="B23" i="177"/>
  <c r="T21" i="177"/>
  <c r="S21" i="177"/>
  <c r="R21" i="177"/>
  <c r="Q21" i="177"/>
  <c r="P21" i="177"/>
  <c r="O21" i="177"/>
  <c r="N21" i="177"/>
  <c r="M21" i="177"/>
  <c r="L21" i="177"/>
  <c r="K21" i="177"/>
  <c r="J21" i="177"/>
  <c r="I21" i="177"/>
  <c r="H21" i="177"/>
  <c r="G21" i="177"/>
  <c r="F21" i="177"/>
  <c r="E21" i="177"/>
  <c r="D21" i="177"/>
  <c r="C21" i="177"/>
  <c r="B21" i="177"/>
  <c r="M41" i="164"/>
  <c r="J40" i="164"/>
  <c r="I40" i="164"/>
  <c r="H40" i="164"/>
  <c r="G40" i="164"/>
  <c r="F40" i="164"/>
  <c r="E40" i="164"/>
  <c r="D40" i="164"/>
  <c r="C40" i="164"/>
  <c r="B40" i="164"/>
  <c r="L39" i="164"/>
  <c r="M39" i="164" s="1"/>
  <c r="L38" i="164"/>
  <c r="K38" i="164"/>
  <c r="L37" i="164"/>
  <c r="K37" i="164"/>
  <c r="M37" i="164" s="1"/>
  <c r="K36" i="164"/>
  <c r="M36" i="164" s="1"/>
  <c r="L35" i="164"/>
  <c r="K35" i="164"/>
  <c r="L34" i="164"/>
  <c r="K34" i="164"/>
  <c r="K33" i="164"/>
  <c r="M33" i="164" s="1"/>
  <c r="L32" i="164"/>
  <c r="K32" i="164"/>
  <c r="L31" i="164"/>
  <c r="K31" i="164"/>
  <c r="L30" i="164"/>
  <c r="K30" i="164"/>
  <c r="L29" i="164"/>
  <c r="K29" i="164"/>
  <c r="L28" i="164"/>
  <c r="K28" i="164"/>
  <c r="L27" i="164"/>
  <c r="K27" i="164"/>
  <c r="L26" i="164"/>
  <c r="K26" i="164"/>
  <c r="L25" i="164"/>
  <c r="K25" i="164"/>
  <c r="L24" i="164"/>
  <c r="K24" i="164"/>
  <c r="L23" i="164"/>
  <c r="K23" i="164"/>
  <c r="L22" i="164"/>
  <c r="M22" i="164" s="1"/>
  <c r="K22" i="164"/>
  <c r="L21" i="164"/>
  <c r="M21" i="164" s="1"/>
  <c r="K21" i="164"/>
  <c r="L20" i="164"/>
  <c r="K20" i="164"/>
  <c r="L19" i="164"/>
  <c r="K19" i="164"/>
  <c r="L18" i="164"/>
  <c r="K18" i="164"/>
  <c r="M18" i="164" s="1"/>
  <c r="L17" i="164"/>
  <c r="K17" i="164"/>
  <c r="L16" i="164"/>
  <c r="K16" i="164"/>
  <c r="M16" i="164" s="1"/>
  <c r="L15" i="164"/>
  <c r="K15" i="164"/>
  <c r="M15" i="164" s="1"/>
  <c r="K14" i="164"/>
  <c r="M14" i="164" s="1"/>
  <c r="L13" i="164"/>
  <c r="K13" i="164"/>
  <c r="L12" i="164"/>
  <c r="K12" i="164"/>
  <c r="L11" i="164"/>
  <c r="K11" i="164"/>
  <c r="L10" i="164"/>
  <c r="K10" i="164"/>
  <c r="L9" i="164"/>
  <c r="K9" i="164"/>
  <c r="L8" i="164"/>
  <c r="K8" i="164"/>
  <c r="M28" i="192"/>
  <c r="J27" i="192"/>
  <c r="I27" i="192"/>
  <c r="H27" i="192"/>
  <c r="G27" i="192"/>
  <c r="F27" i="192"/>
  <c r="E27" i="192"/>
  <c r="D27" i="192"/>
  <c r="C27" i="192"/>
  <c r="B27" i="192"/>
  <c r="M26" i="192"/>
  <c r="M25" i="192"/>
  <c r="M24" i="192"/>
  <c r="L24" i="192"/>
  <c r="K24" i="192"/>
  <c r="M23" i="192"/>
  <c r="M22" i="192"/>
  <c r="L22" i="192"/>
  <c r="L21" i="192"/>
  <c r="K21" i="192"/>
  <c r="M20" i="192"/>
  <c r="M19" i="192"/>
  <c r="M18" i="192"/>
  <c r="L17" i="192"/>
  <c r="M17" i="192" s="1"/>
  <c r="K17" i="192"/>
  <c r="L16" i="192"/>
  <c r="K16" i="192"/>
  <c r="L15" i="192"/>
  <c r="K15" i="192"/>
  <c r="L14" i="192"/>
  <c r="K14" i="192"/>
  <c r="L13" i="192"/>
  <c r="K13" i="192"/>
  <c r="L12" i="192"/>
  <c r="K12" i="192"/>
  <c r="L11" i="192"/>
  <c r="K11" i="192"/>
  <c r="L10" i="192"/>
  <c r="M10" i="192" s="1"/>
  <c r="K10" i="192"/>
  <c r="K9" i="192"/>
  <c r="M9" i="192" s="1"/>
  <c r="L8" i="192"/>
  <c r="M8" i="192" s="1"/>
  <c r="M29" i="162"/>
  <c r="J28" i="162"/>
  <c r="I28" i="162"/>
  <c r="H28" i="162"/>
  <c r="G28" i="162"/>
  <c r="F28" i="162"/>
  <c r="E28" i="162"/>
  <c r="D28" i="162"/>
  <c r="C28" i="162"/>
  <c r="B28" i="162"/>
  <c r="L27" i="162"/>
  <c r="M27" i="162" s="1"/>
  <c r="M26" i="162"/>
  <c r="M25" i="162"/>
  <c r="M24" i="162"/>
  <c r="L23" i="162"/>
  <c r="K23" i="162"/>
  <c r="L22" i="162"/>
  <c r="M22" i="162" s="1"/>
  <c r="L21" i="162"/>
  <c r="K21" i="162"/>
  <c r="M21" i="162" s="1"/>
  <c r="L20" i="162"/>
  <c r="K20" i="162"/>
  <c r="K19" i="162"/>
  <c r="M19" i="162" s="1"/>
  <c r="L18" i="162"/>
  <c r="K18" i="162"/>
  <c r="L17" i="162"/>
  <c r="K17" i="162"/>
  <c r="L16" i="162"/>
  <c r="M16" i="162" s="1"/>
  <c r="K16" i="162"/>
  <c r="L15" i="162"/>
  <c r="K15" i="162"/>
  <c r="L14" i="162"/>
  <c r="K14" i="162"/>
  <c r="L13" i="162"/>
  <c r="K13" i="162"/>
  <c r="L12" i="162"/>
  <c r="K12" i="162"/>
  <c r="M11" i="162"/>
  <c r="L10" i="162"/>
  <c r="K10" i="162"/>
  <c r="L9" i="162"/>
  <c r="K9" i="162"/>
  <c r="L8" i="162"/>
  <c r="T21" i="161"/>
  <c r="S21" i="161"/>
  <c r="R21" i="161"/>
  <c r="Q21" i="161"/>
  <c r="P21" i="161"/>
  <c r="O21" i="161"/>
  <c r="N21" i="161"/>
  <c r="M21" i="161"/>
  <c r="L21" i="161"/>
  <c r="K21" i="161"/>
  <c r="J21" i="161"/>
  <c r="I21" i="161"/>
  <c r="H21" i="161"/>
  <c r="G21" i="161"/>
  <c r="F21" i="161"/>
  <c r="E21" i="161"/>
  <c r="D21" i="161"/>
  <c r="C21" i="161"/>
  <c r="B21" i="161"/>
  <c r="T28" i="176"/>
  <c r="S28" i="176"/>
  <c r="R28" i="176"/>
  <c r="Q28" i="176"/>
  <c r="P28" i="176"/>
  <c r="O28" i="176"/>
  <c r="N28" i="176"/>
  <c r="M28" i="176"/>
  <c r="L28" i="176"/>
  <c r="K28" i="176"/>
  <c r="J28" i="176"/>
  <c r="I28" i="176"/>
  <c r="H28" i="176"/>
  <c r="G28" i="176"/>
  <c r="F28" i="176"/>
  <c r="E28" i="176"/>
  <c r="D28" i="176"/>
  <c r="C28" i="176"/>
  <c r="B28" i="176"/>
  <c r="T17" i="159"/>
  <c r="S17" i="159"/>
  <c r="R17" i="159"/>
  <c r="Q17" i="159"/>
  <c r="P17" i="159"/>
  <c r="O17" i="159"/>
  <c r="N17" i="159"/>
  <c r="M17" i="159"/>
  <c r="L17" i="159"/>
  <c r="K17" i="159"/>
  <c r="J17" i="159"/>
  <c r="I17" i="159"/>
  <c r="H17" i="159"/>
  <c r="G17" i="159"/>
  <c r="F17" i="159"/>
  <c r="E17" i="159"/>
  <c r="D17" i="159"/>
  <c r="C17" i="159"/>
  <c r="B17" i="159"/>
  <c r="T21" i="158"/>
  <c r="S21" i="158"/>
  <c r="R21" i="158"/>
  <c r="Q21" i="158"/>
  <c r="P21" i="158"/>
  <c r="O21" i="158"/>
  <c r="N21" i="158"/>
  <c r="M21" i="158"/>
  <c r="L21" i="158"/>
  <c r="K21" i="158"/>
  <c r="J21" i="158"/>
  <c r="I21" i="158"/>
  <c r="H21" i="158"/>
  <c r="G21" i="158"/>
  <c r="F21" i="158"/>
  <c r="E21" i="158"/>
  <c r="D21" i="158"/>
  <c r="C21" i="158"/>
  <c r="B21" i="158"/>
  <c r="T25" i="175"/>
  <c r="S25" i="175"/>
  <c r="R25" i="175"/>
  <c r="Q25" i="175"/>
  <c r="P25" i="175"/>
  <c r="O25" i="175"/>
  <c r="N25" i="175"/>
  <c r="M25" i="175"/>
  <c r="L25" i="175"/>
  <c r="K25" i="175"/>
  <c r="J25" i="175"/>
  <c r="I25" i="175"/>
  <c r="H25" i="175"/>
  <c r="G25" i="175"/>
  <c r="F25" i="175"/>
  <c r="F26" i="175" s="1"/>
  <c r="E25" i="175"/>
  <c r="D25" i="175"/>
  <c r="C25" i="175"/>
  <c r="B25" i="175"/>
  <c r="B26" i="175" s="1"/>
  <c r="T20" i="175"/>
  <c r="S20" i="175"/>
  <c r="S26" i="175" s="1"/>
  <c r="R20" i="175"/>
  <c r="Q20" i="175"/>
  <c r="Q26" i="175" s="1"/>
  <c r="P20" i="175"/>
  <c r="O20" i="175"/>
  <c r="O26" i="175" s="1"/>
  <c r="N20" i="175"/>
  <c r="M20" i="175"/>
  <c r="M26" i="175" s="1"/>
  <c r="L20" i="175"/>
  <c r="K20" i="175"/>
  <c r="K26" i="175" s="1"/>
  <c r="J20" i="175"/>
  <c r="I20" i="175"/>
  <c r="H20" i="175"/>
  <c r="G20" i="175"/>
  <c r="F20" i="175"/>
  <c r="E20" i="175"/>
  <c r="D20" i="175"/>
  <c r="C20" i="175"/>
  <c r="B20" i="175"/>
  <c r="T25" i="174"/>
  <c r="S25" i="174"/>
  <c r="R25" i="174"/>
  <c r="Q25" i="174"/>
  <c r="P25" i="174"/>
  <c r="O25" i="174"/>
  <c r="N25" i="174"/>
  <c r="M25" i="174"/>
  <c r="L25" i="174"/>
  <c r="K25" i="174"/>
  <c r="J25" i="174"/>
  <c r="I25" i="174"/>
  <c r="H25" i="174"/>
  <c r="G25" i="174"/>
  <c r="F25" i="174"/>
  <c r="E25" i="174"/>
  <c r="D25" i="174"/>
  <c r="C25" i="174"/>
  <c r="B25" i="174"/>
  <c r="T20" i="174"/>
  <c r="S20" i="174"/>
  <c r="S26" i="174" s="1"/>
  <c r="R20" i="174"/>
  <c r="Q20" i="174"/>
  <c r="Q26" i="174" s="1"/>
  <c r="P20" i="174"/>
  <c r="O20" i="174"/>
  <c r="O26" i="174" s="1"/>
  <c r="N20" i="174"/>
  <c r="M20" i="174"/>
  <c r="M26" i="174" s="1"/>
  <c r="L20" i="174"/>
  <c r="K20" i="174"/>
  <c r="K26" i="174" s="1"/>
  <c r="J20" i="174"/>
  <c r="I20" i="174"/>
  <c r="I26" i="174" s="1"/>
  <c r="H20" i="174"/>
  <c r="G20" i="174"/>
  <c r="G26" i="174" s="1"/>
  <c r="F20" i="174"/>
  <c r="E20" i="174"/>
  <c r="E26" i="174" s="1"/>
  <c r="D20" i="174"/>
  <c r="C20" i="174"/>
  <c r="C26" i="174" s="1"/>
  <c r="B20" i="174"/>
  <c r="T25" i="173"/>
  <c r="S25" i="173"/>
  <c r="R25" i="173"/>
  <c r="Q25" i="173"/>
  <c r="P25" i="173"/>
  <c r="O25" i="173"/>
  <c r="N25" i="173"/>
  <c r="M25" i="173"/>
  <c r="L25" i="173"/>
  <c r="K25" i="173"/>
  <c r="J25" i="173"/>
  <c r="I25" i="173"/>
  <c r="H25" i="173"/>
  <c r="H26" i="173" s="1"/>
  <c r="G25" i="173"/>
  <c r="F25" i="173"/>
  <c r="E25" i="173"/>
  <c r="D25" i="173"/>
  <c r="D26" i="173" s="1"/>
  <c r="C25" i="173"/>
  <c r="B25" i="173"/>
  <c r="T20" i="173"/>
  <c r="S20" i="173"/>
  <c r="S26" i="173" s="1"/>
  <c r="R20" i="173"/>
  <c r="Q20" i="173"/>
  <c r="Q26" i="173" s="1"/>
  <c r="P20" i="173"/>
  <c r="O20" i="173"/>
  <c r="O26" i="173" s="1"/>
  <c r="N20" i="173"/>
  <c r="M20" i="173"/>
  <c r="M26" i="173" s="1"/>
  <c r="L20" i="173"/>
  <c r="K20" i="173"/>
  <c r="K26" i="173" s="1"/>
  <c r="J20" i="173"/>
  <c r="I20" i="173"/>
  <c r="H20" i="173"/>
  <c r="G20" i="173"/>
  <c r="F20" i="173"/>
  <c r="E20" i="173"/>
  <c r="D20" i="173"/>
  <c r="C20" i="173"/>
  <c r="B20" i="173"/>
  <c r="T25" i="172"/>
  <c r="S25" i="172"/>
  <c r="R25" i="172"/>
  <c r="Q25" i="172"/>
  <c r="P25" i="172"/>
  <c r="O25" i="172"/>
  <c r="N25" i="172"/>
  <c r="M25" i="172"/>
  <c r="L25" i="172"/>
  <c r="K25" i="172"/>
  <c r="J25" i="172"/>
  <c r="I25" i="172"/>
  <c r="H25" i="172"/>
  <c r="G25" i="172"/>
  <c r="F25" i="172"/>
  <c r="E25" i="172"/>
  <c r="D25" i="172"/>
  <c r="C25" i="172"/>
  <c r="B25" i="172"/>
  <c r="T20" i="172"/>
  <c r="S20" i="172"/>
  <c r="S26" i="172" s="1"/>
  <c r="R20" i="172"/>
  <c r="Q20" i="172"/>
  <c r="Q26" i="172" s="1"/>
  <c r="P20" i="172"/>
  <c r="O20" i="172"/>
  <c r="O26" i="172" s="1"/>
  <c r="N20" i="172"/>
  <c r="M20" i="172"/>
  <c r="M26" i="172" s="1"/>
  <c r="L20" i="172"/>
  <c r="K20" i="172"/>
  <c r="K26" i="172" s="1"/>
  <c r="J20" i="172"/>
  <c r="I20" i="172"/>
  <c r="I26" i="172" s="1"/>
  <c r="H20" i="172"/>
  <c r="G20" i="172"/>
  <c r="G26" i="172" s="1"/>
  <c r="F20" i="172"/>
  <c r="E20" i="172"/>
  <c r="E26" i="172" s="1"/>
  <c r="D20" i="172"/>
  <c r="C20" i="172"/>
  <c r="C26" i="172" s="1"/>
  <c r="B20" i="172"/>
  <c r="T25" i="171"/>
  <c r="S25" i="171"/>
  <c r="R25" i="171"/>
  <c r="Q25" i="171"/>
  <c r="P25" i="171"/>
  <c r="O25" i="171"/>
  <c r="N25" i="171"/>
  <c r="M25" i="171"/>
  <c r="L25" i="171"/>
  <c r="K25" i="171"/>
  <c r="J25" i="171"/>
  <c r="I25" i="171"/>
  <c r="H25" i="171"/>
  <c r="G25" i="171"/>
  <c r="F25" i="171"/>
  <c r="E25" i="171"/>
  <c r="D25" i="171"/>
  <c r="C25" i="171"/>
  <c r="B25" i="171"/>
  <c r="T20" i="171"/>
  <c r="S20" i="171"/>
  <c r="S26" i="171" s="1"/>
  <c r="R20" i="171"/>
  <c r="Q20" i="171"/>
  <c r="Q26" i="171" s="1"/>
  <c r="P20" i="171"/>
  <c r="O20" i="171"/>
  <c r="O26" i="171" s="1"/>
  <c r="N20" i="171"/>
  <c r="M20" i="171"/>
  <c r="M26" i="171" s="1"/>
  <c r="L20" i="171"/>
  <c r="K20" i="171"/>
  <c r="K26" i="171" s="1"/>
  <c r="J20" i="171"/>
  <c r="I20" i="171"/>
  <c r="I26" i="171" s="1"/>
  <c r="H20" i="171"/>
  <c r="G20" i="171"/>
  <c r="G26" i="171" s="1"/>
  <c r="F20" i="171"/>
  <c r="E20" i="171"/>
  <c r="E26" i="171" s="1"/>
  <c r="D20" i="171"/>
  <c r="C20" i="171"/>
  <c r="C26" i="171" s="1"/>
  <c r="B20" i="171"/>
  <c r="T25" i="170"/>
  <c r="S25" i="170"/>
  <c r="R25" i="170"/>
  <c r="Q25" i="170"/>
  <c r="P25" i="170"/>
  <c r="O25" i="170"/>
  <c r="N25" i="170"/>
  <c r="M25" i="170"/>
  <c r="L25" i="170"/>
  <c r="K25" i="170"/>
  <c r="J25" i="170"/>
  <c r="I25" i="170"/>
  <c r="H25" i="170"/>
  <c r="G25" i="170"/>
  <c r="F25" i="170"/>
  <c r="E25" i="170"/>
  <c r="D25" i="170"/>
  <c r="C25" i="170"/>
  <c r="B25" i="170"/>
  <c r="T20" i="170"/>
  <c r="S20" i="170"/>
  <c r="S26" i="170" s="1"/>
  <c r="R20" i="170"/>
  <c r="Q20" i="170"/>
  <c r="Q26" i="170" s="1"/>
  <c r="P20" i="170"/>
  <c r="O20" i="170"/>
  <c r="O26" i="170" s="1"/>
  <c r="N20" i="170"/>
  <c r="M20" i="170"/>
  <c r="M26" i="170" s="1"/>
  <c r="L20" i="170"/>
  <c r="K20" i="170"/>
  <c r="K26" i="170" s="1"/>
  <c r="J20" i="170"/>
  <c r="I20" i="170"/>
  <c r="I26" i="170" s="1"/>
  <c r="H20" i="170"/>
  <c r="G20" i="170"/>
  <c r="G26" i="170" s="1"/>
  <c r="F20" i="170"/>
  <c r="E20" i="170"/>
  <c r="E26" i="170" s="1"/>
  <c r="D20" i="170"/>
  <c r="C20" i="170"/>
  <c r="C26" i="170" s="1"/>
  <c r="B20" i="170"/>
  <c r="M35" i="164" l="1"/>
  <c r="B26" i="170"/>
  <c r="F26" i="170"/>
  <c r="J26" i="170"/>
  <c r="N26" i="170"/>
  <c r="R26" i="170"/>
  <c r="D26" i="171"/>
  <c r="H26" i="171"/>
  <c r="L26" i="171"/>
  <c r="P26" i="171"/>
  <c r="T26" i="171"/>
  <c r="B26" i="172"/>
  <c r="F26" i="172"/>
  <c r="J26" i="172"/>
  <c r="N26" i="172"/>
  <c r="R26" i="172"/>
  <c r="L26" i="173"/>
  <c r="P26" i="173"/>
  <c r="T26" i="173"/>
  <c r="J26" i="174"/>
  <c r="N26" i="174"/>
  <c r="R26" i="174"/>
  <c r="D26" i="175"/>
  <c r="H26" i="175"/>
  <c r="L26" i="175"/>
  <c r="P26" i="175"/>
  <c r="T26" i="175"/>
  <c r="M11" i="192"/>
  <c r="M13" i="192"/>
  <c r="M15" i="192"/>
  <c r="M11" i="164"/>
  <c r="M13" i="164"/>
  <c r="M23" i="164"/>
  <c r="M31" i="164"/>
  <c r="M38" i="164"/>
  <c r="D26" i="170"/>
  <c r="H26" i="170"/>
  <c r="L26" i="170"/>
  <c r="P26" i="170"/>
  <c r="T26" i="170"/>
  <c r="B26" i="171"/>
  <c r="F26" i="171"/>
  <c r="J26" i="171"/>
  <c r="N26" i="171"/>
  <c r="R26" i="171"/>
  <c r="D26" i="172"/>
  <c r="H26" i="172"/>
  <c r="L26" i="172"/>
  <c r="P26" i="172"/>
  <c r="T26" i="172"/>
  <c r="B26" i="173"/>
  <c r="F26" i="173"/>
  <c r="J26" i="173"/>
  <c r="N26" i="173"/>
  <c r="R26" i="173"/>
  <c r="J26" i="175"/>
  <c r="N26" i="175"/>
  <c r="R26" i="175"/>
  <c r="C26" i="175"/>
  <c r="G26" i="175"/>
  <c r="M23" i="162"/>
  <c r="M16" i="192"/>
  <c r="M21" i="192"/>
  <c r="K40" i="164"/>
  <c r="M10" i="164"/>
  <c r="M12" i="164"/>
  <c r="M24" i="164"/>
  <c r="M26" i="164"/>
  <c r="M30" i="164"/>
  <c r="M32" i="164"/>
  <c r="F10" i="169"/>
  <c r="F11" i="169"/>
  <c r="F13" i="169"/>
  <c r="F15" i="169"/>
  <c r="L28" i="162"/>
  <c r="M17" i="162"/>
  <c r="L27" i="192"/>
  <c r="M12" i="192"/>
  <c r="M9" i="164"/>
  <c r="M20" i="164"/>
  <c r="M25" i="164"/>
  <c r="M27" i="164"/>
  <c r="M29" i="164"/>
  <c r="M34" i="164"/>
  <c r="F12" i="169"/>
  <c r="F14" i="169"/>
  <c r="E26" i="173"/>
  <c r="I26" i="173"/>
  <c r="B26" i="174"/>
  <c r="F26" i="174"/>
  <c r="E26" i="175"/>
  <c r="I26" i="175"/>
  <c r="M14" i="192"/>
  <c r="L40" i="164"/>
  <c r="M17" i="164"/>
  <c r="M19" i="164"/>
  <c r="M28" i="164"/>
  <c r="C26" i="173"/>
  <c r="G26" i="173"/>
  <c r="D26" i="174"/>
  <c r="H26" i="174"/>
  <c r="L26" i="174"/>
  <c r="P26" i="174"/>
  <c r="T26" i="174"/>
  <c r="M8" i="164"/>
  <c r="M15" i="162"/>
  <c r="M9" i="162"/>
  <c r="M12" i="162"/>
  <c r="K28" i="162"/>
  <c r="M8" i="162"/>
  <c r="M14" i="162"/>
  <c r="M10" i="162"/>
  <c r="M18" i="162"/>
  <c r="M20" i="162"/>
  <c r="M13" i="162"/>
  <c r="K27" i="192"/>
  <c r="M27" i="192" l="1"/>
  <c r="M40" i="164"/>
  <c r="M28" i="162"/>
  <c r="E8" i="181"/>
  <c r="E9" i="181"/>
  <c r="E10" i="181"/>
  <c r="E11" i="181"/>
  <c r="E12" i="181"/>
  <c r="E13" i="181"/>
  <c r="E14" i="181"/>
  <c r="E15" i="181"/>
  <c r="E16" i="181"/>
  <c r="E17" i="181"/>
  <c r="E7" i="181"/>
  <c r="C23" i="181"/>
  <c r="C21" i="181"/>
  <c r="C18" i="181"/>
  <c r="C24" i="181" s="1"/>
  <c r="B18" i="181"/>
  <c r="O12" i="186"/>
  <c r="N12" i="186"/>
  <c r="O9" i="186"/>
  <c r="N9" i="186"/>
  <c r="B9" i="186"/>
  <c r="C9" i="186"/>
  <c r="D9" i="186"/>
  <c r="E9" i="186"/>
  <c r="F9" i="186"/>
  <c r="G9" i="186"/>
  <c r="H9" i="186"/>
  <c r="I9" i="186"/>
  <c r="J9" i="186"/>
  <c r="K9" i="186"/>
  <c r="L9" i="186"/>
  <c r="M9" i="186"/>
  <c r="B12" i="186"/>
  <c r="C12" i="186"/>
  <c r="D12" i="186"/>
  <c r="E12" i="186"/>
  <c r="F12" i="186"/>
  <c r="G12" i="186"/>
  <c r="H12" i="186"/>
  <c r="I12" i="186"/>
  <c r="J12" i="186"/>
  <c r="K12" i="186"/>
  <c r="L12" i="186"/>
  <c r="M12" i="186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H16" i="180"/>
  <c r="E16" i="180" s="1"/>
  <c r="H15" i="180"/>
  <c r="C15" i="180" s="1"/>
  <c r="H14" i="180"/>
  <c r="G14" i="180" s="1"/>
  <c r="H13" i="180"/>
  <c r="G13" i="180" s="1"/>
  <c r="H12" i="180"/>
  <c r="G12" i="180" s="1"/>
  <c r="H11" i="180"/>
  <c r="G11" i="180" s="1"/>
  <c r="H10" i="180"/>
  <c r="G10" i="180" s="1"/>
  <c r="H9" i="180"/>
  <c r="E9" i="180" s="1"/>
  <c r="H8" i="180"/>
  <c r="C8" i="180" s="1"/>
  <c r="H7" i="180"/>
  <c r="E7" i="180" s="1"/>
  <c r="E12" i="180"/>
  <c r="C16" i="180"/>
  <c r="C12" i="180"/>
  <c r="G8" i="180" l="1"/>
  <c r="C19" i="181"/>
  <c r="G16" i="180"/>
  <c r="E18" i="181"/>
  <c r="E24" i="181" s="1"/>
  <c r="C25" i="181" s="1"/>
  <c r="G7" i="180"/>
  <c r="C7" i="180"/>
  <c r="B24" i="181"/>
  <c r="E10" i="180"/>
  <c r="E13" i="180"/>
  <c r="G15" i="180"/>
  <c r="C14" i="180"/>
  <c r="E15" i="180"/>
  <c r="C13" i="180"/>
  <c r="E14" i="180"/>
  <c r="G9" i="180"/>
  <c r="E8" i="180"/>
  <c r="C10" i="180"/>
  <c r="C9" i="180"/>
  <c r="E11" i="180"/>
  <c r="C11" i="180"/>
  <c r="B25" i="181" l="1"/>
  <c r="B23" i="181"/>
  <c r="B21" i="181"/>
  <c r="B19" i="181"/>
</calcChain>
</file>

<file path=xl/sharedStrings.xml><?xml version="1.0" encoding="utf-8"?>
<sst xmlns="http://schemas.openxmlformats.org/spreadsheetml/2006/main" count="1269" uniqueCount="396">
  <si>
    <t>Total</t>
  </si>
  <si>
    <t>Malaysia</t>
  </si>
  <si>
    <t>1990</t>
  </si>
  <si>
    <t>1995</t>
  </si>
  <si>
    <t>Palm Kernel Oil</t>
  </si>
  <si>
    <t>1991</t>
  </si>
  <si>
    <t>1993</t>
  </si>
  <si>
    <t>1994</t>
  </si>
  <si>
    <t>1996</t>
  </si>
  <si>
    <t>1997</t>
  </si>
  <si>
    <t>1998</t>
  </si>
  <si>
    <t>1999</t>
  </si>
  <si>
    <t>Palm Oil</t>
  </si>
  <si>
    <t>2001</t>
  </si>
  <si>
    <t>('000 Tonnes)</t>
  </si>
  <si>
    <t>Others</t>
  </si>
  <si>
    <t>Bangladesh</t>
  </si>
  <si>
    <t>Egypt</t>
  </si>
  <si>
    <t>India</t>
  </si>
  <si>
    <t>Iran</t>
  </si>
  <si>
    <t>Japan</t>
  </si>
  <si>
    <t>Pakistan</t>
  </si>
  <si>
    <t>Singapore</t>
  </si>
  <si>
    <t>Turkey</t>
  </si>
  <si>
    <t>Vietnam</t>
  </si>
  <si>
    <t>South Africa</t>
  </si>
  <si>
    <t>Brazil</t>
  </si>
  <si>
    <t>Rapeseed Oil</t>
  </si>
  <si>
    <t>Colombia</t>
  </si>
  <si>
    <t>Indonesia</t>
  </si>
  <si>
    <t>Nigeria</t>
  </si>
  <si>
    <t>Papua New Guinea</t>
  </si>
  <si>
    <t>Thailand</t>
  </si>
  <si>
    <t>Palm</t>
  </si>
  <si>
    <t>Olive</t>
  </si>
  <si>
    <t>Coconut</t>
  </si>
  <si>
    <t>Animal</t>
  </si>
  <si>
    <t>Country</t>
  </si>
  <si>
    <t>Oil</t>
  </si>
  <si>
    <t>Argentina</t>
  </si>
  <si>
    <t>Australia</t>
  </si>
  <si>
    <t>Canada</t>
  </si>
  <si>
    <t>Mexico</t>
  </si>
  <si>
    <t>Philippines</t>
  </si>
  <si>
    <t>Groundnut</t>
  </si>
  <si>
    <t>Rapeseed</t>
  </si>
  <si>
    <t>Sunflower</t>
  </si>
  <si>
    <t>EU</t>
  </si>
  <si>
    <t>~/WCS6~</t>
  </si>
  <si>
    <t>Myanmar</t>
  </si>
  <si>
    <t>Cottonseed</t>
  </si>
  <si>
    <t>Algeria</t>
  </si>
  <si>
    <t>Cuba</t>
  </si>
  <si>
    <t>Iraq</t>
  </si>
  <si>
    <t>Jordan</t>
  </si>
  <si>
    <t>Kenya</t>
  </si>
  <si>
    <t>Saudi Arabia</t>
  </si>
  <si>
    <t>Morocco</t>
  </si>
  <si>
    <t>Venezuela</t>
  </si>
  <si>
    <t>%</t>
  </si>
  <si>
    <t>Year</t>
  </si>
  <si>
    <t>(USD/Tonne)</t>
  </si>
  <si>
    <t>Crude Palm Oil</t>
  </si>
  <si>
    <t xml:space="preserve">    Coconut Oil     </t>
  </si>
  <si>
    <t xml:space="preserve">   - Discount</t>
  </si>
  <si>
    <t>(CPO)</t>
  </si>
  <si>
    <t>(SBO)</t>
  </si>
  <si>
    <t>CPO/SBO</t>
  </si>
  <si>
    <t>Source : MPOB</t>
  </si>
  <si>
    <t>{app1}pg~</t>
  </si>
  <si>
    <t>TABLE 2-7</t>
  </si>
  <si>
    <t>(RM/Tonne)</t>
  </si>
  <si>
    <t>(Tonnes)</t>
  </si>
  <si>
    <t>TABLE 2-8</t>
  </si>
  <si>
    <t>Palm Kernel Cake</t>
  </si>
  <si>
    <t>TABLE 2-9</t>
  </si>
  <si>
    <t>Palm Kernel</t>
  </si>
  <si>
    <t>TABLE 2-10</t>
  </si>
  <si>
    <t>Other Veg.</t>
  </si>
  <si>
    <t>TABLE 2-3</t>
  </si>
  <si>
    <t xml:space="preserve"> (Tonnes)</t>
  </si>
  <si>
    <t>State</t>
  </si>
  <si>
    <t>Sabah</t>
  </si>
  <si>
    <t>Johor</t>
  </si>
  <si>
    <t>Pahang</t>
  </si>
  <si>
    <t>Sarawak</t>
  </si>
  <si>
    <t>Perak</t>
  </si>
  <si>
    <t>Selangor</t>
  </si>
  <si>
    <t>Terengganu</t>
  </si>
  <si>
    <t>Kedah</t>
  </si>
  <si>
    <t>Kelantan</t>
  </si>
  <si>
    <t>Melaka</t>
  </si>
  <si>
    <t>Pulau Pinang</t>
  </si>
  <si>
    <t>TABLE 2-4</t>
  </si>
  <si>
    <t>2007</t>
  </si>
  <si>
    <t>TABLE 2-6</t>
  </si>
  <si>
    <t>MALAYSIA:  PALM OIL MILLS AND REFINERIES</t>
  </si>
  <si>
    <t xml:space="preserve">Year </t>
  </si>
  <si>
    <t>Number</t>
  </si>
  <si>
    <t>Source: MPOB</t>
  </si>
  <si>
    <t>TABLE 2 - 1</t>
  </si>
  <si>
    <t>(Hectares)</t>
  </si>
  <si>
    <t>TABLE 2-2</t>
  </si>
  <si>
    <t>TABLE 2-5</t>
  </si>
  <si>
    <t>MALAYSIA : YIELD OF FRESH FRUIT BUNCHES,</t>
  </si>
  <si>
    <t>CRUDE PALM OIL AND PALM KERNEL</t>
  </si>
  <si>
    <t>(Tonnes/Hectare)</t>
  </si>
  <si>
    <t>Negeri Sembilan</t>
  </si>
  <si>
    <t>Perlis</t>
  </si>
  <si>
    <t>Average Oil</t>
  </si>
  <si>
    <t>Potential Oil</t>
  </si>
  <si>
    <t>Average</t>
  </si>
  <si>
    <t>Calculated</t>
  </si>
  <si>
    <t>Crop</t>
  </si>
  <si>
    <t>Content</t>
  </si>
  <si>
    <t>Yield</t>
  </si>
  <si>
    <t>Yield of Oil</t>
  </si>
  <si>
    <t>Oil Palm *</t>
  </si>
  <si>
    <t>Palm oil</t>
  </si>
  <si>
    <t>Palm kernel</t>
  </si>
  <si>
    <t>Seed</t>
  </si>
  <si>
    <t xml:space="preserve">Cotton </t>
  </si>
  <si>
    <t>Copra</t>
  </si>
  <si>
    <t xml:space="preserve">            </t>
  </si>
  <si>
    <t>UAE</t>
  </si>
  <si>
    <t>Paraguay</t>
  </si>
  <si>
    <t>MALAYSIA : PLANTED AREA UNDER OIL PALM</t>
  </si>
  <si>
    <t>%
Share</t>
  </si>
  <si>
    <t>MALAYSIA: PRODUCTION OF CRUDE PALM OIL BY STATE</t>
  </si>
  <si>
    <t>Jan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</si>
  <si>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</si>
  <si>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</si>
  <si>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</si>
  <si>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</si>
  <si>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</si>
  <si>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</si>
  <si>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</si>
  <si>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</si>
  <si>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</si>
  <si>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>Month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</si>
  <si>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</si>
  <si>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</si>
  <si>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</si>
  <si>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</si>
  <si>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</si>
  <si>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</si>
  <si>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</si>
  <si>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</si>
  <si>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</si>
  <si>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</si>
  <si>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</si>
  <si>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</si>
  <si>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States</t>
  </si>
  <si>
    <t>Sabah/Sarawak</t>
  </si>
  <si>
    <t>Crude Palm Kernel Oil (Local Delivered)</t>
  </si>
  <si>
    <t>Crude Palm Oil 
(Local Delivered)</t>
  </si>
  <si>
    <t>Palm Kernel 
(Ex-mill)</t>
  </si>
  <si>
    <t>TABLE 2-28</t>
  </si>
  <si>
    <t>Crude Palm Kernel Oil</t>
  </si>
  <si>
    <t>South Korea</t>
  </si>
  <si>
    <t xml:space="preserve">Product </t>
  </si>
  <si>
    <t xml:space="preserve"> Content</t>
  </si>
  <si>
    <t>TABLE 2-11</t>
  </si>
  <si>
    <t>TABLE 2-35</t>
  </si>
  <si>
    <t>TABLE 2-30</t>
  </si>
  <si>
    <t>TABLE 2-29</t>
  </si>
  <si>
    <t>TABLE 2-16</t>
  </si>
  <si>
    <t>Opening Stocks</t>
  </si>
  <si>
    <t>Production</t>
  </si>
  <si>
    <t>Imports</t>
  </si>
  <si>
    <t>Exports</t>
  </si>
  <si>
    <t>Closing Stocks</t>
  </si>
  <si>
    <t>('000 TONNES)</t>
  </si>
  <si>
    <t xml:space="preserve">Palm Oil </t>
  </si>
  <si>
    <t xml:space="preserve">Palm Kernel Oil </t>
  </si>
  <si>
    <t>Cottonseed Oil</t>
  </si>
  <si>
    <t>Groundnut Oil</t>
  </si>
  <si>
    <t>Sunflower Oil</t>
  </si>
  <si>
    <t>Corn Oil</t>
  </si>
  <si>
    <t>Coconut Oil</t>
  </si>
  <si>
    <t>Olive Oil</t>
  </si>
  <si>
    <t>Castor Oil</t>
  </si>
  <si>
    <t>Sesame Oil</t>
  </si>
  <si>
    <t>Linseed Oil</t>
  </si>
  <si>
    <t>Total Vegetable Oils</t>
  </si>
  <si>
    <t>Butter</t>
  </si>
  <si>
    <t>Tallow</t>
  </si>
  <si>
    <t>Fish Oil</t>
  </si>
  <si>
    <t>Lard</t>
  </si>
  <si>
    <t>GRAND TOTAL</t>
  </si>
  <si>
    <t>Ecuador</t>
  </si>
  <si>
    <t>Honduras</t>
  </si>
  <si>
    <t>Cote d'Ivoire</t>
  </si>
  <si>
    <t>Guatemala</t>
  </si>
  <si>
    <t>Costa Rica</t>
  </si>
  <si>
    <t xml:space="preserve">Pakistan </t>
  </si>
  <si>
    <t>New Zealand</t>
  </si>
  <si>
    <t>Soyabean</t>
  </si>
  <si>
    <t>Other States</t>
  </si>
  <si>
    <t>TABLE 2-12</t>
  </si>
  <si>
    <t>Product</t>
  </si>
  <si>
    <t xml:space="preserve"> Volume
('000 Tonnes)</t>
  </si>
  <si>
    <t>Value
(RM Million)</t>
  </si>
  <si>
    <t>Total Export</t>
  </si>
  <si>
    <t>TABLE 2-13</t>
  </si>
  <si>
    <t>RANK</t>
  </si>
  <si>
    <t>Country of Destination</t>
  </si>
  <si>
    <t>Volume 
(000' Tonne)</t>
  </si>
  <si>
    <t>U.S.A</t>
  </si>
  <si>
    <t>Taiwan</t>
  </si>
  <si>
    <t>TABLE 2-14</t>
  </si>
  <si>
    <t>Ukraine</t>
  </si>
  <si>
    <t>U.A.E</t>
  </si>
  <si>
    <t>TABLE 2-15</t>
  </si>
  <si>
    <t>Russia</t>
  </si>
  <si>
    <t>TABLE 2-17</t>
  </si>
  <si>
    <t>TABLE 2-18</t>
  </si>
  <si>
    <t>TABLE 2-19</t>
  </si>
  <si>
    <t>TABLE 2-20</t>
  </si>
  <si>
    <t>TABLE 2-21</t>
  </si>
  <si>
    <t>TABLE 2-22</t>
  </si>
  <si>
    <t>TABLE 2-23</t>
  </si>
  <si>
    <t>TABLE 2-24</t>
  </si>
  <si>
    <t>TABLE 2-25</t>
  </si>
  <si>
    <t>TABLE 2-26</t>
  </si>
  <si>
    <t>TABLE 2-27</t>
  </si>
  <si>
    <t>TABLE 2-31</t>
  </si>
  <si>
    <t>TABLE 2-32</t>
  </si>
  <si>
    <t>TABLE 2-33</t>
  </si>
  <si>
    <t>TABLE 2-34</t>
  </si>
  <si>
    <t>1,122</t>
  </si>
  <si>
    <t>WORLD MAJOR IMPORTERS OF 17 OILS AND FATS</t>
  </si>
  <si>
    <t xml:space="preserve">Fresh Fruit Bunches  </t>
  </si>
  <si>
    <t>909</t>
  </si>
  <si>
    <t>Soyabean Oil</t>
  </si>
  <si>
    <t>Refineries In Operation</t>
  </si>
  <si>
    <t>Mills In Operation</t>
  </si>
  <si>
    <t>Cameroon</t>
  </si>
  <si>
    <t>Bolivia</t>
  </si>
  <si>
    <t>Peninsular</t>
  </si>
  <si>
    <t xml:space="preserve"> Source: MPOB</t>
  </si>
  <si>
    <t xml:space="preserve">MALAYSIA : ANNUAL PRODUCTION OF PALM KERNEL, CRUDE PALM KERNEL OIL AND PALM KERNEL CAKE </t>
  </si>
  <si>
    <t>Crude Palm 
Kernel Oil</t>
  </si>
  <si>
    <t xml:space="preserve">Crude 
Palm Oil </t>
  </si>
  <si>
    <t>Capacity
(MT/FFB/Year)</t>
  </si>
  <si>
    <t>Fresh Fruit Bunches 
(1% OER) 
Local Ex-Mill</t>
  </si>
  <si>
    <t>China</t>
  </si>
  <si>
    <t xml:space="preserve">MALAYSIA : EXPORT OF PALM OIL &amp; PALM-BASED PRODUCTS TO MAJOR COUNTRIES </t>
  </si>
  <si>
    <t xml:space="preserve">MALAYSIA : EXPORT OF PALM OIL TO MAJOR COUNTRIES </t>
  </si>
  <si>
    <t>Consumption</t>
  </si>
  <si>
    <t>U.S.A.</t>
  </si>
  <si>
    <r>
      <t>Oils</t>
    </r>
    <r>
      <rPr>
        <b/>
        <vertAlign val="superscript"/>
        <sz val="11"/>
        <rFont val="Arial"/>
        <family val="2"/>
      </rPr>
      <t>*</t>
    </r>
  </si>
  <si>
    <r>
      <t>Fats</t>
    </r>
    <r>
      <rPr>
        <b/>
        <vertAlign val="superscript"/>
        <sz val="11"/>
        <rFont val="Arial"/>
        <family val="2"/>
      </rPr>
      <t>**</t>
    </r>
  </si>
  <si>
    <t>U.A.E.</t>
  </si>
  <si>
    <t>Other Palm-based Products</t>
  </si>
  <si>
    <t>Palm-Based Oleochemicals</t>
  </si>
  <si>
    <t xml:space="preserve">     Processed Palm Kernel Oil</t>
  </si>
  <si>
    <t xml:space="preserve">     Crude Palm Kernel Oil</t>
  </si>
  <si>
    <t xml:space="preserve">     Processed Palm Oil</t>
  </si>
  <si>
    <t xml:space="preserve">     Crude Palm Oil</t>
  </si>
  <si>
    <t>Source : DOSM</t>
  </si>
  <si>
    <t>Palm Kernel
(Ex-Mill)</t>
  </si>
  <si>
    <t>FFB 
(1% Oil Extraction Rate)</t>
  </si>
  <si>
    <t>MALAYSIA : ANNUAL AVERAGE PRICE OF OIL PALM PRODUCTS</t>
  </si>
  <si>
    <t>USA</t>
  </si>
  <si>
    <t>Viet Nam</t>
  </si>
  <si>
    <t xml:space="preserve">MALAYSIA : EXPORT OF PALM KERNEL OIL TO MAJOR COUNTRIES </t>
  </si>
  <si>
    <t>Note:</t>
  </si>
  <si>
    <r>
      <t xml:space="preserve">          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Revise</t>
    </r>
  </si>
  <si>
    <r>
      <rPr>
        <vertAlign val="superscript"/>
        <sz val="11"/>
        <rFont val="Arial"/>
        <family val="2"/>
      </rPr>
      <t xml:space="preserve">              p </t>
    </r>
    <r>
      <rPr>
        <sz val="11"/>
        <rFont val="Arial"/>
        <family val="2"/>
      </rPr>
      <t>Preliminary</t>
    </r>
  </si>
  <si>
    <t>WORLD : MAJOR PRODUCERS OF 17 OILS AND FATS</t>
  </si>
  <si>
    <t>WORLD : MAJOR CONSUMERS OF PALM OIL</t>
  </si>
  <si>
    <t>WORLD : MAJOR IMPORTERS OF PALM OIL</t>
  </si>
  <si>
    <t>WORLD : MAJOR EXPORTERS OF PALM OIL</t>
  </si>
  <si>
    <t>WORLD : MAJOR PRODUCERS OF PALM OIL</t>
  </si>
  <si>
    <t>WORLD : BALANCE OF 17 OILS &amp; FATS</t>
  </si>
  <si>
    <t>WORLD : MAJOR EXPORTERS OF 17 OILS AND FATS</t>
  </si>
  <si>
    <t>WORLD : MAJOR CONSUMERS OF 17 OILS AND FATS</t>
  </si>
  <si>
    <t>1290</t>
  </si>
  <si>
    <t>1278</t>
  </si>
  <si>
    <t>926</t>
  </si>
  <si>
    <t>AVERAGE PRICE OF SELECTED VEGETABLE OILS IN THE ROTTERDAM MARKET</t>
  </si>
  <si>
    <t>MALAYSIA</t>
  </si>
  <si>
    <t>668</t>
  </si>
  <si>
    <t>23-25</t>
  </si>
  <si>
    <t>45-50</t>
  </si>
  <si>
    <t>18-19</t>
  </si>
  <si>
    <t>40-45</t>
  </si>
  <si>
    <t>18-20</t>
  </si>
  <si>
    <t>40-50</t>
  </si>
  <si>
    <t>65-68</t>
  </si>
  <si>
    <t>Mozambique</t>
  </si>
  <si>
    <t>DISTRIBUTION OF OIL PALM PLANTED AREA BY STATE AND MAIN SECTOR AS AT DECEMBER 2020</t>
  </si>
  <si>
    <t>STATE</t>
  </si>
  <si>
    <t>INDEPENDENT SMALLHOLDERS</t>
  </si>
  <si>
    <t>Peninsular Malaysia</t>
  </si>
  <si>
    <t>MALAYSIA : MONTHLY PRODUCTION OF CRUDE PALM OIL, PALM KERNEL, CRUDE PALM KERNEL OIL AND PALM KERNEL CAKE IN 2020</t>
  </si>
  <si>
    <t>MALAYSIA : AVERAGE MONTHLY FFB YIELD OF OIL PALM ESTATES IN 2020</t>
  </si>
  <si>
    <t>MALAYSIA : AVERAGE MONTHLY CPO YIELD OF OIL PALM ESTATES IN 2020</t>
  </si>
  <si>
    <t>MALAYSIA : MONTHLY AVERAGE PRICE OF OIL PALM PRODUCTS IN 2020</t>
  </si>
  <si>
    <r>
      <t xml:space="preserve">2019 </t>
    </r>
    <r>
      <rPr>
        <b/>
        <vertAlign val="superscript"/>
        <sz val="11"/>
        <rFont val="Arial"/>
        <family val="2"/>
      </rPr>
      <t>r</t>
    </r>
  </si>
  <si>
    <r>
      <t xml:space="preserve">2020 </t>
    </r>
    <r>
      <rPr>
        <b/>
        <vertAlign val="superscript"/>
        <sz val="11"/>
        <rFont val="Arial"/>
        <family val="2"/>
      </rPr>
      <t>p</t>
    </r>
  </si>
  <si>
    <t>MALAYSIA : EXPORT OF PALM OIL AND PALM BASED PRODUCTS</t>
  </si>
  <si>
    <t>826</t>
  </si>
  <si>
    <t>WORLD : PRODUCTION OF MAJOR OILS AND FATS BY SELECTED COUNTRIES IN 2019</t>
  </si>
  <si>
    <t>WORLD : EXPORT OF MAJOR OILS AND FATS BY SELECTED COUNTRIES IN 2019</t>
  </si>
  <si>
    <t>WORLD : IMPORT OF MAJOR OILS AND FATS IN 2019</t>
  </si>
  <si>
    <t>Ghana</t>
  </si>
  <si>
    <t xml:space="preserve">          2020: European Union (EU) exclude United Kingdom</t>
  </si>
  <si>
    <t>Togo</t>
  </si>
  <si>
    <t>PLANTATION</t>
  </si>
  <si>
    <t xml:space="preserve"> ORGANISED SMALLHOLDERS</t>
  </si>
  <si>
    <t>Source : Oil World</t>
  </si>
  <si>
    <t>Source  : Oil World</t>
  </si>
  <si>
    <t>Singapore*</t>
  </si>
  <si>
    <t>Crude Palm Oil
(Local Delivered)</t>
  </si>
  <si>
    <t>Crude Palm Kernel Oil
(Local Delivered)</t>
  </si>
  <si>
    <t>Oils and Fats</t>
  </si>
  <si>
    <t>WORLD : OPENING STOCKS OF 17 OILS AND FATS</t>
  </si>
  <si>
    <t>Total Animal Oils and Fats</t>
  </si>
  <si>
    <t>WORLD : PRODUCTION OF 17 OILS AND FATS</t>
  </si>
  <si>
    <t>WORLD : IMPORTS  OF 17 OILS AND FATS</t>
  </si>
  <si>
    <t>WORLD : EXPORTS OF 17 OILS AND FATS</t>
  </si>
  <si>
    <t>WORLD : CONSUMPTION OF 17 OILS AND FATS</t>
  </si>
  <si>
    <t>WORLD : CLOSING STOCKS OF 17 OILS AND FATS</t>
  </si>
  <si>
    <t xml:space="preserve">Note : *  Sesame Oil, Corn Oil, Linseed Oil and Castor Oil </t>
  </si>
  <si>
    <t xml:space="preserve">          **  Butter, Lard, Fish Oil, Tallow and Grease</t>
  </si>
  <si>
    <t>Note:  * Includes re-exporting country</t>
  </si>
  <si>
    <t>Oils*</t>
  </si>
  <si>
    <t>Fats **</t>
  </si>
  <si>
    <t xml:space="preserve">Source : Oil World </t>
  </si>
  <si>
    <t>WORLD : COMPARATIVE YIELDS OF VEGETABLE OILS, 2019/2020</t>
  </si>
  <si>
    <t>Note :  * Refer to Malaysia Hybrid DXP Variety</t>
  </si>
  <si>
    <t>MALAYSIA : IMPORT AND EXPORT OF PALM OIL &amp; PALM PRODUCTS</t>
  </si>
  <si>
    <t>Products</t>
  </si>
  <si>
    <t>Import</t>
  </si>
  <si>
    <t>Export</t>
  </si>
  <si>
    <t>Quantity 
( '000 T)</t>
  </si>
  <si>
    <t>Value (RM Million)</t>
  </si>
  <si>
    <r>
      <t xml:space="preserve">Palm Oil </t>
    </r>
    <r>
      <rPr>
        <vertAlign val="superscript"/>
        <sz val="11"/>
        <rFont val="Arial"/>
        <family val="2"/>
      </rPr>
      <t>1</t>
    </r>
  </si>
  <si>
    <r>
      <t xml:space="preserve">Palm Kernel Oil </t>
    </r>
    <r>
      <rPr>
        <vertAlign val="superscript"/>
        <sz val="11"/>
        <rFont val="Arial"/>
        <family val="2"/>
      </rPr>
      <t>1</t>
    </r>
  </si>
  <si>
    <t>Palm-based Oleochemicals</t>
  </si>
  <si>
    <t xml:space="preserve">Palm Kernel Cake </t>
  </si>
  <si>
    <r>
      <t xml:space="preserve">Source : </t>
    </r>
    <r>
      <rPr>
        <i/>
        <sz val="10"/>
        <rFont val="Arial"/>
        <family val="2"/>
      </rPr>
      <t>Department of Statistics, Malaysia (DOSM)</t>
    </r>
  </si>
  <si>
    <t>Note :</t>
  </si>
  <si>
    <r>
      <t xml:space="preserve">         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 Include crude and processed</t>
    </r>
  </si>
  <si>
    <t>MALAYSIA : MONTHLY IMPORT AND EXPORT OF PALM OIL &amp; PALM PRODUCTS</t>
  </si>
  <si>
    <t>Trade</t>
  </si>
  <si>
    <r>
      <t xml:space="preserve">Palm Oil </t>
    </r>
    <r>
      <rPr>
        <b/>
        <vertAlign val="superscript"/>
        <sz val="11"/>
        <rFont val="Arial"/>
        <family val="2"/>
      </rPr>
      <t>1</t>
    </r>
  </si>
  <si>
    <r>
      <t xml:space="preserve">Palm Kernel Oil </t>
    </r>
    <r>
      <rPr>
        <b/>
        <vertAlign val="superscript"/>
        <sz val="11"/>
        <rFont val="Arial"/>
        <family val="2"/>
      </rPr>
      <t>1</t>
    </r>
  </si>
  <si>
    <t>Quantity 
('000 T)</t>
  </si>
  <si>
    <t>Quantity
('000 T)</t>
  </si>
  <si>
    <t>NA</t>
  </si>
  <si>
    <t xml:space="preserve">          NA - not available</t>
  </si>
  <si>
    <t>MATURED</t>
  </si>
  <si>
    <t>IMMATURED</t>
  </si>
  <si>
    <t>N. Sembilan</t>
  </si>
  <si>
    <t>P. Pinang</t>
  </si>
  <si>
    <t>P. Malaysia</t>
  </si>
  <si>
    <t>MALAYSIA: OIL PALM PLANTED AREA BY MATURED AND IMMATURED</t>
  </si>
  <si>
    <t>Region</t>
  </si>
  <si>
    <t>Matured</t>
  </si>
  <si>
    <t>Immatured</t>
  </si>
  <si>
    <t>PRODUCTION OF SELECTED PROCESSED PALM OIL</t>
  </si>
  <si>
    <t>C.P.Stearin</t>
  </si>
  <si>
    <t>C.P.Olein</t>
  </si>
  <si>
    <t>RBD Palm Oil</t>
  </si>
  <si>
    <t>RBD Palm Olein</t>
  </si>
  <si>
    <t>RBD Palm Stearin</t>
  </si>
  <si>
    <t>PFAD</t>
  </si>
  <si>
    <t>Cooking Oil</t>
  </si>
  <si>
    <t xml:space="preserve">Note :  </t>
  </si>
  <si>
    <t xml:space="preserve">(TONNES/YEAR) </t>
  </si>
  <si>
    <t>Sector</t>
  </si>
  <si>
    <t>No</t>
  </si>
  <si>
    <t>Capacity In Operation</t>
  </si>
  <si>
    <t>FFB Mills</t>
  </si>
  <si>
    <t>PK Crushers</t>
  </si>
  <si>
    <t>Refineries</t>
  </si>
  <si>
    <t>Oleochemicals</t>
  </si>
  <si>
    <t xml:space="preserve">Note : </t>
  </si>
  <si>
    <t xml:space="preserve">            NA - not available</t>
  </si>
  <si>
    <t>TABLE 2-41</t>
  </si>
  <si>
    <t>TABLE 2-40</t>
  </si>
  <si>
    <t>TABLE 2-39</t>
  </si>
  <si>
    <t>TABLE 2-38</t>
  </si>
  <si>
    <t>TABLE 2-37</t>
  </si>
  <si>
    <t>TABLE 2-36</t>
  </si>
  <si>
    <r>
      <t xml:space="preserve">Source: </t>
    </r>
    <r>
      <rPr>
        <i/>
        <sz val="10"/>
        <rFont val="Arial"/>
        <family val="2"/>
      </rPr>
      <t>Malaysian Palm Oil Board (MPOB)</t>
    </r>
  </si>
  <si>
    <r>
      <t xml:space="preserve">         FFB – </t>
    </r>
    <r>
      <rPr>
        <i/>
        <sz val="10"/>
        <rFont val="Arial"/>
        <family val="2"/>
      </rPr>
      <t>Fresh fruit bunches</t>
    </r>
  </si>
  <si>
    <r>
      <t xml:space="preserve">         PK – </t>
    </r>
    <r>
      <rPr>
        <i/>
        <sz val="10"/>
        <rFont val="Arial"/>
        <family val="2"/>
      </rPr>
      <t>Palm kernel</t>
    </r>
  </si>
  <si>
    <r>
      <t xml:space="preserve">         CP = </t>
    </r>
    <r>
      <rPr>
        <i/>
        <sz val="10"/>
        <rFont val="Arial"/>
        <family val="2"/>
      </rPr>
      <t>Crude Palm</t>
    </r>
  </si>
  <si>
    <r>
      <t xml:space="preserve">         RBD = </t>
    </r>
    <r>
      <rPr>
        <i/>
        <sz val="10"/>
        <rFont val="Arial"/>
        <family val="2"/>
      </rPr>
      <t>Refined, Bleached Deodorized</t>
    </r>
  </si>
  <si>
    <r>
      <t xml:space="preserve">         PFAD = </t>
    </r>
    <r>
      <rPr>
        <i/>
        <sz val="10"/>
        <rFont val="Arial"/>
        <family val="2"/>
      </rPr>
      <t>Palm fatty acid distillate biodiesel</t>
    </r>
  </si>
  <si>
    <t>OIL PALM PLANTED AREA MATURED AND IMMATURED BY STATE 2020</t>
  </si>
  <si>
    <t>NUMBER AND CAPACITIES OF PALM OIL SECTORS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</si>
</sst>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_-;\-* #,##0.00_-;_-* &quot;-&quot;??_-;_-@_-"/>
    <numFmt numFmtId="165" formatCode="#,##0.0_);\(#,##0.0\)"/>
    <numFmt numFmtId="166" formatCode="0_)"/>
    <numFmt numFmtId="167" formatCode="0.00_)"/>
    <numFmt numFmtId="168" formatCode="_(* #,##0_);_(* \(#,##0\);_(* &quot;-&quot;??_);_(@_)"/>
    <numFmt numFmtId="169" formatCode="0.0"/>
    <numFmt numFmtId="170" formatCode="#,##0.0"/>
    <numFmt numFmtId="171" formatCode="_-* #,##0.0_-;\-* #,##0.0_-;_-* &quot;-&quot;??_-;_-@_-"/>
    <numFmt numFmtId="172" formatCode="_-* #,##0_-;\-* #,##0_-;_-* &quot;-&quot;??_-;_-@_-"/>
  </numFmts>
  <fonts count="24">
    <font>
      <sz val="8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SWISS"/>
    </font>
    <font>
      <sz val="8"/>
      <name val="Arial"/>
      <family val="2"/>
    </font>
    <font>
      <sz val="10"/>
      <name val="Arial"/>
      <family val="2"/>
    </font>
    <font>
      <sz val="8"/>
      <name val="SWISS"/>
    </font>
    <font>
      <sz val="10"/>
      <name val="Tahoma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SWISS"/>
    </font>
    <font>
      <b/>
      <sz val="11"/>
      <name val="Arial Narrow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</borders>
  <cellStyleXfs count="30">
    <xf numFmtId="0" fontId="0" fillId="0" borderId="0"/>
    <xf numFmtId="164" fontId="3" fillId="0" borderId="0" applyFont="0" applyFill="0" applyBorder="0" applyAlignment="0" applyProtection="0"/>
    <xf numFmtId="168" fontId="7" fillId="0" borderId="0" applyFill="0" applyBorder="0" applyAlignment="0" applyProtection="0"/>
    <xf numFmtId="43" fontId="3" fillId="0" borderId="0" applyFill="0" applyBorder="0" applyAlignment="0" applyProtection="0"/>
    <xf numFmtId="43" fontId="6" fillId="0" borderId="0" applyFill="0" applyBorder="0" applyAlignment="0" applyProtection="0"/>
    <xf numFmtId="166" fontId="7" fillId="0" borderId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6" fillId="0" borderId="0"/>
    <xf numFmtId="0" fontId="10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17" fillId="0" borderId="0"/>
    <xf numFmtId="0" fontId="17" fillId="0" borderId="0"/>
    <xf numFmtId="0" fontId="3" fillId="0" borderId="0"/>
    <xf numFmtId="0" fontId="8" fillId="0" borderId="0"/>
    <xf numFmtId="0" fontId="3" fillId="0" borderId="0"/>
    <xf numFmtId="0" fontId="6" fillId="0" borderId="0"/>
    <xf numFmtId="0" fontId="9" fillId="0" borderId="0"/>
    <xf numFmtId="0" fontId="3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9">
    <xf numFmtId="0" fontId="0" fillId="0" borderId="0" xfId="0"/>
    <xf numFmtId="37" fontId="5" fillId="0" borderId="0" xfId="0" applyNumberFormat="1" applyFont="1" applyFill="1" applyBorder="1" applyAlignment="1" applyProtection="1"/>
    <xf numFmtId="0" fontId="0" fillId="0" borderId="0" xfId="0" applyFont="1" applyFill="1" applyAlignment="1"/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/>
    <xf numFmtId="166" fontId="5" fillId="0" borderId="0" xfId="0" applyNumberFormat="1" applyFont="1" applyFill="1" applyAlignment="1" applyProtection="1"/>
    <xf numFmtId="0" fontId="5" fillId="0" borderId="0" xfId="23" applyFont="1" applyFill="1" applyAlignment="1">
      <alignment horizontal="center"/>
    </xf>
    <xf numFmtId="0" fontId="5" fillId="0" borderId="0" xfId="23" applyFont="1" applyFill="1" applyAlignment="1"/>
    <xf numFmtId="0" fontId="3" fillId="0" borderId="0" xfId="0" applyFont="1" applyFill="1" applyAlignment="1" applyProtection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37" fontId="11" fillId="0" borderId="2" xfId="0" applyNumberFormat="1" applyFont="1" applyFill="1" applyBorder="1" applyAlignment="1" applyProtection="1">
      <alignment horizontal="center" vertical="center"/>
    </xf>
    <xf numFmtId="169" fontId="11" fillId="0" borderId="2" xfId="0" applyNumberFormat="1" applyFont="1" applyFill="1" applyBorder="1" applyAlignment="1" applyProtection="1">
      <alignment horizontal="center" vertical="center"/>
    </xf>
    <xf numFmtId="37" fontId="12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3" fontId="11" fillId="0" borderId="0" xfId="0" applyNumberFormat="1" applyFont="1" applyFill="1" applyAlignment="1">
      <alignment vertical="center"/>
    </xf>
    <xf numFmtId="3" fontId="11" fillId="0" borderId="0" xfId="0" quotePrefix="1" applyNumberFormat="1" applyFont="1" applyFill="1" applyAlignment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37" fontId="11" fillId="0" borderId="0" xfId="0" applyNumberFormat="1" applyFont="1" applyFill="1" applyAlignment="1" applyProtection="1">
      <alignment vertical="center"/>
    </xf>
    <xf numFmtId="0" fontId="11" fillId="0" borderId="2" xfId="0" quotePrefix="1" applyNumberFormat="1" applyFont="1" applyFill="1" applyBorder="1" applyAlignment="1" applyProtection="1">
      <alignment horizontal="center"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169" fontId="11" fillId="0" borderId="3" xfId="0" applyNumberFormat="1" applyFont="1" applyFill="1" applyBorder="1" applyAlignment="1" applyProtection="1">
      <alignment horizontal="center" vertical="center"/>
    </xf>
    <xf numFmtId="37" fontId="12" fillId="0" borderId="3" xfId="0" applyNumberFormat="1" applyFont="1" applyFill="1" applyBorder="1" applyAlignment="1" applyProtection="1">
      <alignment horizontal="center" vertical="center"/>
    </xf>
    <xf numFmtId="169" fontId="11" fillId="0" borderId="0" xfId="0" applyNumberFormat="1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0" fontId="11" fillId="0" borderId="0" xfId="22" applyFont="1" applyFill="1" applyBorder="1" applyAlignment="1">
      <alignment horizontal="right" vertical="center"/>
    </xf>
    <xf numFmtId="0" fontId="11" fillId="0" borderId="0" xfId="22" applyFont="1" applyFill="1" applyBorder="1" applyAlignment="1">
      <alignment horizontal="left" vertical="center"/>
    </xf>
    <xf numFmtId="0" fontId="11" fillId="0" borderId="0" xfId="22" applyFont="1" applyFill="1" applyBorder="1" applyAlignment="1">
      <alignment horizontal="right"/>
    </xf>
    <xf numFmtId="0" fontId="11" fillId="0" borderId="4" xfId="22" applyFont="1" applyFill="1" applyBorder="1" applyAlignment="1">
      <alignment horizontal="right" vertical="center"/>
    </xf>
    <xf numFmtId="0" fontId="11" fillId="0" borderId="0" xfId="22" applyFont="1" applyFill="1" applyAlignment="1"/>
    <xf numFmtId="0" fontId="12" fillId="0" borderId="1" xfId="22" applyFont="1" applyFill="1" applyBorder="1" applyAlignment="1">
      <alignment horizontal="center" vertical="center"/>
    </xf>
    <xf numFmtId="0" fontId="12" fillId="0" borderId="5" xfId="22" applyFont="1" applyFill="1" applyBorder="1" applyAlignment="1">
      <alignment horizontal="center" vertical="center"/>
    </xf>
    <xf numFmtId="0" fontId="12" fillId="0" borderId="6" xfId="22" applyFont="1" applyFill="1" applyBorder="1" applyAlignment="1">
      <alignment horizontal="center" vertical="center"/>
    </xf>
    <xf numFmtId="0" fontId="11" fillId="0" borderId="0" xfId="22" applyFont="1" applyFill="1" applyAlignment="1">
      <alignment horizontal="center" vertical="center"/>
    </xf>
    <xf numFmtId="0" fontId="11" fillId="0" borderId="2" xfId="22" applyFont="1" applyFill="1" applyBorder="1" applyAlignment="1">
      <alignment horizontal="left" vertical="center"/>
    </xf>
    <xf numFmtId="0" fontId="12" fillId="0" borderId="3" xfId="22" applyFont="1" applyFill="1" applyBorder="1" applyAlignment="1">
      <alignment horizontal="left" vertical="center"/>
    </xf>
    <xf numFmtId="168" fontId="12" fillId="0" borderId="7" xfId="9" applyNumberFormat="1" applyFont="1" applyFill="1" applyBorder="1" applyAlignment="1">
      <alignment horizontal="right" vertical="center"/>
    </xf>
    <xf numFmtId="172" fontId="11" fillId="0" borderId="8" xfId="1" applyNumberFormat="1" applyFont="1" applyFill="1" applyBorder="1" applyAlignment="1">
      <alignment horizontal="right" vertical="center"/>
    </xf>
    <xf numFmtId="172" fontId="11" fillId="0" borderId="2" xfId="1" applyNumberFormat="1" applyFont="1" applyFill="1" applyBorder="1" applyAlignment="1">
      <alignment horizontal="right" vertical="center"/>
    </xf>
    <xf numFmtId="172" fontId="11" fillId="0" borderId="0" xfId="1" applyNumberFormat="1" applyFont="1" applyFill="1" applyAlignment="1">
      <alignment horizontal="right" vertical="center"/>
    </xf>
    <xf numFmtId="0" fontId="11" fillId="0" borderId="0" xfId="22" applyFont="1" applyFill="1" applyAlignment="1">
      <alignment vertical="center"/>
    </xf>
    <xf numFmtId="0" fontId="11" fillId="0" borderId="4" xfId="22" applyFont="1" applyFill="1" applyBorder="1" applyAlignment="1">
      <alignment horizontal="left" vertical="center"/>
    </xf>
    <xf numFmtId="0" fontId="11" fillId="0" borderId="4" xfId="22" applyFont="1" applyFill="1" applyBorder="1" applyAlignment="1">
      <alignment vertical="center"/>
    </xf>
    <xf numFmtId="0" fontId="11" fillId="0" borderId="0" xfId="22" applyFont="1" applyFill="1" applyBorder="1" applyAlignment="1">
      <alignment vertical="center"/>
    </xf>
    <xf numFmtId="0" fontId="11" fillId="0" borderId="0" xfId="0" applyFont="1" applyFill="1" applyAlignment="1"/>
    <xf numFmtId="0" fontId="12" fillId="0" borderId="5" xfId="23" applyFont="1" applyFill="1" applyBorder="1" applyAlignment="1">
      <alignment horizontal="center" vertical="center"/>
    </xf>
    <xf numFmtId="0" fontId="12" fillId="0" borderId="42" xfId="23" applyFont="1" applyFill="1" applyBorder="1" applyAlignment="1">
      <alignment horizontal="center" vertical="center"/>
    </xf>
    <xf numFmtId="0" fontId="11" fillId="0" borderId="2" xfId="23" applyFont="1" applyFill="1" applyBorder="1" applyAlignment="1">
      <alignment horizontal="center" vertical="center"/>
    </xf>
    <xf numFmtId="3" fontId="11" fillId="0" borderId="10" xfId="1" applyNumberFormat="1" applyFont="1" applyFill="1" applyBorder="1" applyAlignment="1">
      <alignment horizontal="center" vertical="center"/>
    </xf>
    <xf numFmtId="3" fontId="11" fillId="0" borderId="2" xfId="1" applyNumberFormat="1" applyFont="1" applyFill="1" applyBorder="1" applyAlignment="1">
      <alignment horizontal="center" vertical="center"/>
    </xf>
    <xf numFmtId="0" fontId="11" fillId="0" borderId="2" xfId="23" quotePrefix="1" applyFont="1" applyFill="1" applyBorder="1" applyAlignment="1">
      <alignment horizontal="center" vertical="center"/>
    </xf>
    <xf numFmtId="0" fontId="11" fillId="0" borderId="3" xfId="23" applyFont="1" applyFill="1" applyBorder="1" applyAlignment="1">
      <alignment horizontal="center" vertical="center"/>
    </xf>
    <xf numFmtId="0" fontId="12" fillId="0" borderId="5" xfId="23" applyFont="1" applyFill="1" applyBorder="1" applyAlignment="1">
      <alignment horizontal="center" vertical="center" wrapText="1"/>
    </xf>
    <xf numFmtId="0" fontId="12" fillId="0" borderId="0" xfId="23" applyFont="1" applyFill="1" applyAlignment="1">
      <alignment vertical="center"/>
    </xf>
    <xf numFmtId="0" fontId="12" fillId="0" borderId="11" xfId="23" applyFont="1" applyFill="1" applyBorder="1" applyAlignment="1">
      <alignment horizontal="center" vertical="center"/>
    </xf>
    <xf numFmtId="3" fontId="11" fillId="0" borderId="0" xfId="23" applyNumberFormat="1" applyFont="1" applyFill="1" applyBorder="1" applyAlignment="1">
      <alignment horizontal="left" vertical="center"/>
    </xf>
    <xf numFmtId="0" fontId="11" fillId="0" borderId="0" xfId="0" applyFont="1" applyFill="1"/>
    <xf numFmtId="0" fontId="11" fillId="0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68" fontId="13" fillId="0" borderId="0" xfId="1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12" xfId="24" applyFont="1" applyFill="1" applyBorder="1" applyAlignment="1" applyProtection="1">
      <alignment horizontal="center" vertical="center"/>
    </xf>
    <xf numFmtId="167" fontId="11" fillId="0" borderId="12" xfId="24" applyNumberFormat="1" applyFont="1" applyFill="1" applyBorder="1" applyAlignment="1" applyProtection="1">
      <alignment horizontal="center" vertical="center"/>
    </xf>
    <xf numFmtId="0" fontId="11" fillId="0" borderId="0" xfId="24" applyFont="1" applyFill="1" applyAlignment="1" applyProtection="1">
      <alignment vertical="center"/>
    </xf>
    <xf numFmtId="0" fontId="11" fillId="0" borderId="0" xfId="24" applyFont="1" applyFill="1" applyAlignment="1">
      <alignment vertical="center"/>
    </xf>
    <xf numFmtId="2" fontId="11" fillId="0" borderId="12" xfId="24" applyNumberFormat="1" applyFont="1" applyFill="1" applyBorder="1" applyAlignment="1" applyProtection="1">
      <alignment horizontal="center" vertical="center"/>
    </xf>
    <xf numFmtId="0" fontId="11" fillId="0" borderId="0" xfId="25" applyFont="1" applyFill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/>
    <xf numFmtId="0" fontId="11" fillId="0" borderId="0" xfId="25" applyFont="1" applyFill="1" applyAlignment="1">
      <alignment horizontal="center"/>
    </xf>
    <xf numFmtId="0" fontId="11" fillId="0" borderId="0" xfId="25" applyFont="1" applyFill="1" applyAlignment="1"/>
    <xf numFmtId="0" fontId="11" fillId="0" borderId="8" xfId="25" applyFont="1" applyFill="1" applyBorder="1" applyAlignment="1">
      <alignment horizontal="center" vertical="center"/>
    </xf>
    <xf numFmtId="0" fontId="11" fillId="0" borderId="0" xfId="25" applyFont="1" applyFill="1" applyBorder="1" applyAlignment="1">
      <alignment horizontal="center" vertical="center"/>
    </xf>
    <xf numFmtId="0" fontId="11" fillId="0" borderId="8" xfId="25" quotePrefix="1" applyFont="1" applyFill="1" applyBorder="1" applyAlignment="1">
      <alignment horizontal="center" vertical="center"/>
    </xf>
    <xf numFmtId="0" fontId="11" fillId="0" borderId="2" xfId="25" applyFont="1" applyFill="1" applyBorder="1" applyAlignment="1">
      <alignment horizontal="center" vertical="center"/>
    </xf>
    <xf numFmtId="0" fontId="11" fillId="0" borderId="3" xfId="25" applyFont="1" applyFill="1" applyBorder="1" applyAlignment="1">
      <alignment horizontal="center" vertical="center"/>
    </xf>
    <xf numFmtId="0" fontId="11" fillId="0" borderId="0" xfId="25" applyFont="1" applyFill="1" applyAlignment="1">
      <alignment horizontal="center" vertical="center"/>
    </xf>
    <xf numFmtId="0" fontId="12" fillId="0" borderId="0" xfId="25" applyFont="1" applyFill="1" applyAlignment="1">
      <alignment vertical="center"/>
    </xf>
    <xf numFmtId="3" fontId="11" fillId="0" borderId="10" xfId="10" applyNumberFormat="1" applyFont="1" applyFill="1" applyBorder="1" applyAlignment="1">
      <alignment horizontal="center" vertical="center"/>
    </xf>
    <xf numFmtId="3" fontId="11" fillId="0" borderId="43" xfId="25" applyNumberFormat="1" applyFont="1" applyFill="1" applyBorder="1" applyAlignment="1">
      <alignment horizontal="center" vertical="center"/>
    </xf>
    <xf numFmtId="3" fontId="11" fillId="0" borderId="8" xfId="1" applyNumberFormat="1" applyFont="1" applyFill="1" applyBorder="1" applyAlignment="1">
      <alignment horizontal="center" vertical="center"/>
    </xf>
    <xf numFmtId="3" fontId="11" fillId="0" borderId="0" xfId="10" applyNumberFormat="1" applyFont="1" applyFill="1" applyBorder="1" applyAlignment="1">
      <alignment horizontal="center" vertical="center"/>
    </xf>
    <xf numFmtId="3" fontId="11" fillId="0" borderId="2" xfId="10" applyNumberFormat="1" applyFont="1" applyFill="1" applyBorder="1" applyAlignment="1">
      <alignment horizontal="center" vertical="center"/>
    </xf>
    <xf numFmtId="3" fontId="11" fillId="0" borderId="2" xfId="25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/>
    <xf numFmtId="0" fontId="12" fillId="0" borderId="0" xfId="0" applyFont="1" applyFill="1" applyAlignment="1" applyProtection="1">
      <alignment horizontal="center"/>
    </xf>
    <xf numFmtId="4" fontId="11" fillId="0" borderId="44" xfId="0" applyNumberFormat="1" applyFont="1" applyFill="1" applyBorder="1" applyAlignment="1" applyProtection="1">
      <alignment horizontal="center" vertical="center"/>
    </xf>
    <xf numFmtId="39" fontId="11" fillId="0" borderId="44" xfId="0" applyNumberFormat="1" applyFont="1" applyFill="1" applyBorder="1" applyAlignment="1" applyProtection="1">
      <alignment horizontal="center" vertical="center"/>
    </xf>
    <xf numFmtId="39" fontId="11" fillId="0" borderId="0" xfId="0" applyNumberFormat="1" applyFont="1" applyFill="1" applyBorder="1" applyAlignment="1" applyProtection="1">
      <alignment horizontal="left" vertical="center"/>
    </xf>
    <xf numFmtId="4" fontId="11" fillId="0" borderId="44" xfId="1" applyNumberFormat="1" applyFont="1" applyFill="1" applyBorder="1" applyAlignment="1" applyProtection="1">
      <alignment horizontal="center" vertical="center"/>
    </xf>
    <xf numFmtId="39" fontId="11" fillId="0" borderId="0" xfId="0" applyNumberFormat="1" applyFont="1" applyFill="1" applyBorder="1" applyAlignment="1" applyProtection="1">
      <alignment horizontal="center" vertical="center"/>
    </xf>
    <xf numFmtId="4" fontId="11" fillId="0" borderId="44" xfId="1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/>
    </xf>
    <xf numFmtId="39" fontId="11" fillId="0" borderId="0" xfId="0" applyNumberFormat="1" applyFont="1" applyFill="1" applyAlignment="1" applyProtection="1">
      <alignment horizontal="center"/>
    </xf>
    <xf numFmtId="167" fontId="11" fillId="0" borderId="0" xfId="0" applyNumberFormat="1" applyFont="1" applyFill="1" applyAlignment="1" applyProtection="1">
      <alignment horizontal="center"/>
    </xf>
    <xf numFmtId="2" fontId="11" fillId="0" borderId="0" xfId="0" applyNumberFormat="1" applyFont="1" applyFill="1" applyAlignment="1" applyProtection="1">
      <alignment horizontal="center"/>
    </xf>
    <xf numFmtId="39" fontId="11" fillId="0" borderId="0" xfId="0" applyNumberFormat="1" applyFont="1" applyFill="1" applyAlignment="1" applyProtection="1">
      <alignment horizontal="center" vertical="center"/>
    </xf>
    <xf numFmtId="2" fontId="11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39" fontId="11" fillId="0" borderId="0" xfId="0" applyNumberFormat="1" applyFont="1" applyFill="1" applyAlignment="1" applyProtection="1">
      <alignment vertical="center"/>
    </xf>
    <xf numFmtId="4" fontId="11" fillId="0" borderId="0" xfId="0" applyNumberFormat="1" applyFont="1" applyFill="1" applyAlignment="1">
      <alignment horizontal="right" vertical="center"/>
    </xf>
    <xf numFmtId="2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" fontId="11" fillId="0" borderId="9" xfId="0" applyNumberFormat="1" applyFont="1" applyFill="1" applyBorder="1" applyAlignment="1" applyProtection="1">
      <alignment horizontal="center" vertical="center"/>
    </xf>
    <xf numFmtId="4" fontId="11" fillId="0" borderId="4" xfId="0" applyNumberFormat="1" applyFont="1" applyFill="1" applyBorder="1" applyAlignment="1" applyProtection="1">
      <alignment horizontal="center" vertical="center"/>
    </xf>
    <xf numFmtId="4" fontId="11" fillId="0" borderId="2" xfId="0" applyNumberFormat="1" applyFont="1" applyFill="1" applyBorder="1" applyAlignment="1" applyProtection="1">
      <alignment horizontal="center" vertical="center"/>
    </xf>
    <xf numFmtId="4" fontId="11" fillId="0" borderId="0" xfId="0" applyNumberFormat="1" applyFont="1" applyFill="1" applyBorder="1" applyAlignment="1" applyProtection="1">
      <alignment horizontal="center" vertical="center"/>
    </xf>
    <xf numFmtId="4" fontId="11" fillId="0" borderId="3" xfId="0" applyNumberFormat="1" applyFont="1" applyFill="1" applyBorder="1" applyAlignment="1" applyProtection="1">
      <alignment horizontal="center" vertical="center"/>
    </xf>
    <xf numFmtId="4" fontId="11" fillId="0" borderId="11" xfId="0" applyNumberFormat="1" applyFont="1" applyFill="1" applyBorder="1" applyAlignment="1" applyProtection="1">
      <alignment horizontal="center" vertical="center"/>
    </xf>
    <xf numFmtId="4" fontId="12" fillId="0" borderId="13" xfId="0" applyNumberFormat="1" applyFont="1" applyFill="1" applyBorder="1" applyAlignment="1" applyProtection="1">
      <alignment horizontal="center" vertical="center"/>
    </xf>
    <xf numFmtId="4" fontId="12" fillId="0" borderId="3" xfId="0" applyNumberFormat="1" applyFont="1" applyFill="1" applyBorder="1" applyAlignment="1" applyProtection="1">
      <alignment horizontal="center" vertical="center"/>
    </xf>
    <xf numFmtId="4" fontId="12" fillId="0" borderId="11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/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165" fontId="11" fillId="0" borderId="0" xfId="0" applyNumberFormat="1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43" fontId="11" fillId="0" borderId="2" xfId="0" applyNumberFormat="1" applyFont="1" applyFill="1" applyBorder="1" applyAlignment="1">
      <alignment vertical="center"/>
    </xf>
    <xf numFmtId="43" fontId="12" fillId="0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37" fontId="12" fillId="0" borderId="9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3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26" applyFont="1" applyFill="1" applyBorder="1" applyAlignment="1" applyProtection="1">
      <alignment horizontal="center" vertical="center"/>
    </xf>
    <xf numFmtId="3" fontId="11" fillId="0" borderId="2" xfId="26" applyNumberFormat="1" applyFont="1" applyFill="1" applyBorder="1" applyAlignment="1" applyProtection="1">
      <alignment horizontal="center" vertical="center"/>
    </xf>
    <xf numFmtId="3" fontId="11" fillId="0" borderId="2" xfId="26" applyNumberFormat="1" applyFont="1" applyFill="1" applyBorder="1" applyAlignment="1" applyProtection="1">
      <alignment horizontal="center" vertical="center" wrapText="1"/>
    </xf>
    <xf numFmtId="3" fontId="11" fillId="0" borderId="2" xfId="1" applyNumberFormat="1" applyFont="1" applyFill="1" applyBorder="1" applyAlignment="1" applyProtection="1">
      <alignment horizontal="center" vertical="center"/>
    </xf>
    <xf numFmtId="3" fontId="11" fillId="0" borderId="2" xfId="1" applyNumberFormat="1" applyFont="1" applyFill="1" applyBorder="1" applyAlignment="1" applyProtection="1">
      <alignment horizontal="center" vertical="center" wrapText="1"/>
    </xf>
    <xf numFmtId="1" fontId="11" fillId="0" borderId="2" xfId="1" applyNumberFormat="1" applyFont="1" applyFill="1" applyBorder="1" applyAlignment="1" applyProtection="1">
      <alignment horizontal="center" vertical="center"/>
    </xf>
    <xf numFmtId="49" fontId="11" fillId="0" borderId="2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/>
    </xf>
    <xf numFmtId="1" fontId="11" fillId="0" borderId="0" xfId="0" applyNumberFormat="1" applyFont="1" applyFill="1" applyAlignment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1" fontId="11" fillId="0" borderId="3" xfId="1" applyNumberFormat="1" applyFont="1" applyFill="1" applyBorder="1" applyAlignment="1" applyProtection="1">
      <alignment horizontal="center" vertical="center"/>
    </xf>
    <xf numFmtId="49" fontId="11" fillId="0" borderId="3" xfId="1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Border="1" applyAlignment="1">
      <alignment horizontal="right" vertical="center"/>
    </xf>
    <xf numFmtId="0" fontId="11" fillId="0" borderId="0" xfId="14" applyNumberFormat="1" applyFont="1" applyFill="1" applyBorder="1" applyAlignment="1">
      <alignment horizontal="left" vertical="center"/>
    </xf>
    <xf numFmtId="0" fontId="11" fillId="0" borderId="0" xfId="15" applyNumberFormat="1" applyFont="1" applyFill="1" applyAlignment="1">
      <alignment vertical="center"/>
    </xf>
    <xf numFmtId="0" fontId="12" fillId="0" borderId="15" xfId="15" applyNumberFormat="1" applyFont="1" applyFill="1" applyBorder="1" applyAlignment="1">
      <alignment horizontal="center" vertical="center"/>
    </xf>
    <xf numFmtId="0" fontId="12" fillId="0" borderId="18" xfId="15" applyNumberFormat="1" applyFont="1" applyFill="1" applyBorder="1" applyAlignment="1">
      <alignment horizontal="center" vertical="center"/>
    </xf>
    <xf numFmtId="0" fontId="12" fillId="0" borderId="19" xfId="15" applyNumberFormat="1" applyFont="1" applyFill="1" applyBorder="1" applyAlignment="1">
      <alignment horizontal="center" vertical="center"/>
    </xf>
    <xf numFmtId="0" fontId="12" fillId="0" borderId="1" xfId="15" applyNumberFormat="1" applyFont="1" applyFill="1" applyBorder="1" applyAlignment="1">
      <alignment horizontal="center" vertical="center"/>
    </xf>
    <xf numFmtId="37" fontId="11" fillId="0" borderId="20" xfId="15" applyNumberFormat="1" applyFont="1" applyFill="1" applyBorder="1" applyAlignment="1">
      <alignment horizontal="left" vertical="center"/>
    </xf>
    <xf numFmtId="37" fontId="11" fillId="0" borderId="21" xfId="15" applyNumberFormat="1" applyFont="1" applyFill="1" applyBorder="1" applyAlignment="1">
      <alignment vertical="center"/>
    </xf>
    <xf numFmtId="37" fontId="11" fillId="0" borderId="22" xfId="15" applyNumberFormat="1" applyFont="1" applyFill="1" applyBorder="1" applyAlignment="1">
      <alignment vertical="center"/>
    </xf>
    <xf numFmtId="37" fontId="11" fillId="0" borderId="2" xfId="15" applyNumberFormat="1" applyFont="1" applyFill="1" applyBorder="1" applyAlignment="1">
      <alignment vertical="center"/>
    </xf>
    <xf numFmtId="37" fontId="11" fillId="0" borderId="9" xfId="15" applyNumberFormat="1" applyFont="1" applyFill="1" applyBorder="1" applyAlignment="1">
      <alignment vertical="center"/>
    </xf>
    <xf numFmtId="37" fontId="11" fillId="0" borderId="10" xfId="15" applyNumberFormat="1" applyFont="1" applyFill="1" applyBorder="1" applyAlignment="1">
      <alignment horizontal="left" vertical="center"/>
    </xf>
    <xf numFmtId="37" fontId="11" fillId="0" borderId="12" xfId="15" applyNumberFormat="1" applyFont="1" applyFill="1" applyBorder="1" applyAlignment="1">
      <alignment vertical="center"/>
    </xf>
    <xf numFmtId="37" fontId="11" fillId="0" borderId="23" xfId="15" applyNumberFormat="1" applyFont="1" applyFill="1" applyBorder="1" applyAlignment="1">
      <alignment vertical="center"/>
    </xf>
    <xf numFmtId="37" fontId="11" fillId="0" borderId="10" xfId="15" applyNumberFormat="1" applyFont="1" applyFill="1" applyBorder="1" applyAlignment="1">
      <alignment vertical="center"/>
    </xf>
    <xf numFmtId="37" fontId="11" fillId="0" borderId="24" xfId="15" applyNumberFormat="1" applyFont="1" applyFill="1" applyBorder="1" applyAlignment="1">
      <alignment vertical="center"/>
    </xf>
    <xf numFmtId="37" fontId="11" fillId="0" borderId="25" xfId="15" applyNumberFormat="1" applyFont="1" applyFill="1" applyBorder="1" applyAlignment="1">
      <alignment vertical="center"/>
    </xf>
    <xf numFmtId="37" fontId="12" fillId="0" borderId="20" xfId="15" applyNumberFormat="1" applyFont="1" applyFill="1" applyBorder="1" applyAlignment="1">
      <alignment vertical="center"/>
    </xf>
    <xf numFmtId="37" fontId="12" fillId="0" borderId="1" xfId="15" applyNumberFormat="1" applyFont="1" applyFill="1" applyBorder="1" applyAlignment="1">
      <alignment vertical="center"/>
    </xf>
    <xf numFmtId="37" fontId="11" fillId="0" borderId="20" xfId="15" applyNumberFormat="1" applyFont="1" applyFill="1" applyBorder="1" applyAlignment="1">
      <alignment vertical="center"/>
    </xf>
    <xf numFmtId="37" fontId="11" fillId="0" borderId="15" xfId="15" applyNumberFormat="1" applyFont="1" applyFill="1" applyBorder="1" applyAlignment="1">
      <alignment vertical="center"/>
    </xf>
    <xf numFmtId="37" fontId="11" fillId="0" borderId="3" xfId="15" applyNumberFormat="1" applyFont="1" applyFill="1" applyBorder="1" applyAlignment="1">
      <alignment vertical="center"/>
    </xf>
    <xf numFmtId="37" fontId="11" fillId="0" borderId="13" xfId="15" applyNumberFormat="1" applyFont="1" applyFill="1" applyBorder="1" applyAlignment="1">
      <alignment vertical="center"/>
    </xf>
    <xf numFmtId="37" fontId="12" fillId="0" borderId="26" xfId="15" applyNumberFormat="1" applyFont="1" applyFill="1" applyBorder="1" applyAlignment="1">
      <alignment vertical="center"/>
    </xf>
    <xf numFmtId="37" fontId="11" fillId="0" borderId="0" xfId="15" applyNumberFormat="1" applyFont="1" applyFill="1" applyAlignment="1">
      <alignment vertical="center"/>
    </xf>
    <xf numFmtId="0" fontId="11" fillId="0" borderId="0" xfId="15" applyFont="1" applyFill="1" applyAlignment="1">
      <alignment vertical="center"/>
    </xf>
    <xf numFmtId="3" fontId="11" fillId="0" borderId="0" xfId="15" applyNumberFormat="1" applyFont="1" applyFill="1" applyAlignment="1">
      <alignment vertical="center"/>
    </xf>
    <xf numFmtId="0" fontId="12" fillId="0" borderId="11" xfId="15" applyNumberFormat="1" applyFont="1" applyFill="1" applyBorder="1" applyAlignment="1">
      <alignment horizontal="center" vertical="center"/>
    </xf>
    <xf numFmtId="0" fontId="12" fillId="0" borderId="5" xfId="15" applyNumberFormat="1" applyFont="1" applyFill="1" applyBorder="1" applyAlignment="1">
      <alignment horizontal="center" vertical="center"/>
    </xf>
    <xf numFmtId="0" fontId="12" fillId="0" borderId="27" xfId="15" applyNumberFormat="1" applyFont="1" applyFill="1" applyBorder="1" applyAlignment="1">
      <alignment horizontal="center" vertical="center"/>
    </xf>
    <xf numFmtId="0" fontId="12" fillId="0" borderId="28" xfId="15" applyNumberFormat="1" applyFont="1" applyFill="1" applyBorder="1" applyAlignment="1">
      <alignment horizontal="center" vertical="center"/>
    </xf>
    <xf numFmtId="3" fontId="11" fillId="0" borderId="10" xfId="15" applyNumberFormat="1" applyFont="1" applyFill="1" applyBorder="1" applyAlignment="1">
      <alignment vertical="center"/>
    </xf>
    <xf numFmtId="37" fontId="11" fillId="0" borderId="12" xfId="15" applyNumberFormat="1" applyFont="1" applyBorder="1" applyAlignment="1" applyProtection="1">
      <alignment vertical="center"/>
    </xf>
    <xf numFmtId="37" fontId="11" fillId="0" borderId="23" xfId="15" applyNumberFormat="1" applyFont="1" applyBorder="1" applyAlignment="1" applyProtection="1">
      <alignment vertical="center"/>
    </xf>
    <xf numFmtId="37" fontId="11" fillId="0" borderId="2" xfId="15" applyNumberFormat="1" applyFont="1" applyBorder="1" applyAlignment="1">
      <alignment vertical="center"/>
    </xf>
    <xf numFmtId="0" fontId="11" fillId="0" borderId="10" xfId="15" applyNumberFormat="1" applyFont="1" applyFill="1" applyBorder="1" applyAlignment="1">
      <alignment vertical="center"/>
    </xf>
    <xf numFmtId="3" fontId="12" fillId="0" borderId="29" xfId="15" applyNumberFormat="1" applyFont="1" applyFill="1" applyBorder="1" applyAlignment="1">
      <alignment vertical="center"/>
    </xf>
    <xf numFmtId="37" fontId="12" fillId="0" borderId="5" xfId="15" applyNumberFormat="1" applyFont="1" applyFill="1" applyBorder="1" applyAlignment="1">
      <alignment vertical="center"/>
    </xf>
    <xf numFmtId="0" fontId="12" fillId="0" borderId="30" xfId="15" applyNumberFormat="1" applyFont="1" applyFill="1" applyBorder="1" applyAlignment="1">
      <alignment horizontal="center" vertical="center"/>
    </xf>
    <xf numFmtId="3" fontId="12" fillId="0" borderId="26" xfId="15" applyNumberFormat="1" applyFont="1" applyFill="1" applyBorder="1" applyAlignment="1">
      <alignment vertical="center"/>
    </xf>
    <xf numFmtId="37" fontId="11" fillId="0" borderId="17" xfId="15" applyNumberFormat="1" applyFont="1" applyFill="1" applyBorder="1" applyAlignment="1">
      <alignment vertical="center"/>
    </xf>
    <xf numFmtId="37" fontId="11" fillId="0" borderId="0" xfId="15" applyNumberFormat="1" applyFont="1" applyFill="1" applyBorder="1" applyAlignment="1">
      <alignment vertical="center"/>
    </xf>
    <xf numFmtId="37" fontId="12" fillId="0" borderId="31" xfId="15" applyNumberFormat="1" applyFont="1" applyFill="1" applyBorder="1" applyAlignment="1">
      <alignment vertical="center"/>
    </xf>
    <xf numFmtId="0" fontId="11" fillId="0" borderId="0" xfId="17" applyFont="1" applyFill="1" applyAlignment="1">
      <alignment vertical="center"/>
    </xf>
    <xf numFmtId="0" fontId="12" fillId="0" borderId="5" xfId="17" applyNumberFormat="1" applyFont="1" applyFill="1" applyBorder="1" applyAlignment="1">
      <alignment horizontal="center" vertical="center"/>
    </xf>
    <xf numFmtId="0" fontId="12" fillId="0" borderId="19" xfId="17" applyNumberFormat="1" applyFont="1" applyFill="1" applyBorder="1" applyAlignment="1">
      <alignment horizontal="center" vertical="center"/>
    </xf>
    <xf numFmtId="0" fontId="12" fillId="0" borderId="1" xfId="17" applyNumberFormat="1" applyFont="1" applyFill="1" applyBorder="1" applyAlignment="1">
      <alignment horizontal="center" vertical="center"/>
    </xf>
    <xf numFmtId="0" fontId="11" fillId="0" borderId="10" xfId="17" applyFont="1" applyFill="1" applyBorder="1" applyAlignment="1">
      <alignment vertical="center"/>
    </xf>
    <xf numFmtId="37" fontId="11" fillId="0" borderId="2" xfId="17" applyNumberFormat="1" applyFont="1" applyFill="1" applyBorder="1" applyAlignment="1">
      <alignment vertical="center"/>
    </xf>
    <xf numFmtId="0" fontId="11" fillId="0" borderId="2" xfId="17" applyFont="1" applyFill="1" applyBorder="1" applyAlignment="1">
      <alignment vertical="center"/>
    </xf>
    <xf numFmtId="0" fontId="12" fillId="0" borderId="5" xfId="17" applyFont="1" applyFill="1" applyBorder="1" applyAlignment="1">
      <alignment vertical="center"/>
    </xf>
    <xf numFmtId="37" fontId="12" fillId="0" borderId="1" xfId="17" applyNumberFormat="1" applyFont="1" applyFill="1" applyBorder="1" applyAlignment="1">
      <alignment vertical="center"/>
    </xf>
    <xf numFmtId="37" fontId="11" fillId="0" borderId="2" xfId="17" applyNumberFormat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right" vertical="center" wrapText="1"/>
    </xf>
    <xf numFmtId="0" fontId="12" fillId="0" borderId="24" xfId="0" applyFont="1" applyBorder="1" applyAlignment="1">
      <alignment horizontal="center" vertical="center"/>
    </xf>
    <xf numFmtId="37" fontId="12" fillId="0" borderId="24" xfId="0" applyNumberFormat="1" applyFont="1" applyBorder="1" applyAlignment="1" applyProtection="1">
      <alignment horizontal="center" vertical="center"/>
    </xf>
    <xf numFmtId="165" fontId="12" fillId="0" borderId="24" xfId="0" applyNumberFormat="1" applyFont="1" applyBorder="1" applyAlignment="1" applyProtection="1">
      <alignment horizontal="center" vertical="center"/>
    </xf>
    <xf numFmtId="0" fontId="11" fillId="0" borderId="12" xfId="0" applyFont="1" applyBorder="1" applyAlignment="1">
      <alignment vertical="center"/>
    </xf>
    <xf numFmtId="165" fontId="11" fillId="0" borderId="12" xfId="1" applyNumberFormat="1" applyFont="1" applyFill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170" fontId="11" fillId="0" borderId="0" xfId="0" applyNumberFormat="1" applyFont="1" applyAlignment="1"/>
    <xf numFmtId="39" fontId="11" fillId="0" borderId="0" xfId="0" applyNumberFormat="1" applyFont="1" applyAlignment="1"/>
    <xf numFmtId="165" fontId="12" fillId="0" borderId="0" xfId="0" applyNumberFormat="1" applyFont="1" applyAlignment="1" applyProtection="1"/>
    <xf numFmtId="170" fontId="11" fillId="0" borderId="0" xfId="0" applyNumberFormat="1" applyFont="1" applyAlignment="1" applyProtection="1"/>
    <xf numFmtId="165" fontId="11" fillId="0" borderId="0" xfId="0" applyNumberFormat="1" applyFont="1" applyAlignment="1" applyProtection="1"/>
    <xf numFmtId="165" fontId="12" fillId="0" borderId="0" xfId="0" applyNumberFormat="1" applyFont="1" applyAlignment="1"/>
    <xf numFmtId="39" fontId="11" fillId="0" borderId="0" xfId="0" applyNumberFormat="1" applyFont="1" applyAlignment="1" applyProtection="1"/>
    <xf numFmtId="165" fontId="11" fillId="0" borderId="0" xfId="0" applyNumberFormat="1" applyFont="1" applyAlignment="1" applyProtection="1">
      <alignment horizontal="right"/>
    </xf>
    <xf numFmtId="0" fontId="12" fillId="0" borderId="0" xfId="0" applyFont="1" applyAlignment="1"/>
    <xf numFmtId="170" fontId="12" fillId="0" borderId="0" xfId="0" applyNumberFormat="1" applyFont="1" applyAlignment="1"/>
    <xf numFmtId="39" fontId="12" fillId="0" borderId="0" xfId="0" applyNumberFormat="1" applyFont="1" applyAlignment="1"/>
    <xf numFmtId="165" fontId="11" fillId="0" borderId="0" xfId="0" applyNumberFormat="1" applyFont="1" applyAlignment="1">
      <alignment horizontal="center"/>
    </xf>
    <xf numFmtId="165" fontId="11" fillId="0" borderId="0" xfId="0" applyNumberFormat="1" applyFont="1" applyAlignment="1" applyProtection="1">
      <alignment horizontal="center"/>
    </xf>
    <xf numFmtId="39" fontId="11" fillId="0" borderId="0" xfId="0" applyNumberFormat="1" applyFont="1" applyAlignment="1" applyProtection="1">
      <alignment horizontal="center"/>
    </xf>
    <xf numFmtId="165" fontId="12" fillId="0" borderId="0" xfId="0" applyNumberFormat="1" applyFont="1" applyAlignment="1" applyProtection="1">
      <alignment horizontal="center"/>
    </xf>
    <xf numFmtId="37" fontId="11" fillId="0" borderId="0" xfId="0" applyNumberFormat="1" applyFont="1" applyAlignment="1" applyProtection="1">
      <alignment horizontal="center"/>
    </xf>
    <xf numFmtId="37" fontId="11" fillId="0" borderId="0" xfId="0" applyNumberFormat="1" applyFont="1" applyAlignment="1" applyProtection="1"/>
    <xf numFmtId="170" fontId="12" fillId="0" borderId="0" xfId="0" applyNumberFormat="1" applyFont="1" applyAlignment="1" applyProtection="1"/>
    <xf numFmtId="39" fontId="12" fillId="0" borderId="0" xfId="0" applyNumberFormat="1" applyFont="1" applyAlignment="1" applyProtection="1"/>
    <xf numFmtId="39" fontId="11" fillId="0" borderId="0" xfId="0" applyNumberFormat="1" applyFont="1" applyAlignment="1">
      <alignment vertical="center"/>
    </xf>
    <xf numFmtId="165" fontId="12" fillId="0" borderId="0" xfId="0" applyNumberFormat="1" applyFont="1" applyAlignment="1" applyProtection="1">
      <alignment vertical="center"/>
    </xf>
    <xf numFmtId="170" fontId="11" fillId="0" borderId="0" xfId="0" applyNumberFormat="1" applyFont="1" applyAlignment="1" applyProtection="1">
      <alignment vertical="center"/>
    </xf>
    <xf numFmtId="165" fontId="11" fillId="0" borderId="0" xfId="0" applyNumberFormat="1" applyFont="1" applyAlignment="1" applyProtection="1">
      <alignment vertical="center"/>
    </xf>
    <xf numFmtId="165" fontId="12" fillId="0" borderId="0" xfId="0" applyNumberFormat="1" applyFont="1" applyAlignment="1">
      <alignment vertical="center"/>
    </xf>
    <xf numFmtId="39" fontId="11" fillId="0" borderId="0" xfId="0" applyNumberFormat="1" applyFont="1" applyAlignment="1" applyProtection="1">
      <alignment vertical="center"/>
    </xf>
    <xf numFmtId="0" fontId="11" fillId="0" borderId="2" xfId="21" applyFont="1" applyBorder="1" applyAlignment="1">
      <alignment vertical="center"/>
    </xf>
    <xf numFmtId="0" fontId="12" fillId="0" borderId="1" xfId="21" applyFont="1" applyBorder="1" applyAlignment="1">
      <alignment horizontal="center" vertical="center"/>
    </xf>
    <xf numFmtId="0" fontId="11" fillId="0" borderId="0" xfId="21" applyFont="1" applyAlignment="1">
      <alignment vertical="center"/>
    </xf>
    <xf numFmtId="170" fontId="11" fillId="0" borderId="0" xfId="21" applyNumberFormat="1" applyFont="1" applyAlignment="1">
      <alignment vertical="center"/>
    </xf>
    <xf numFmtId="165" fontId="11" fillId="0" borderId="0" xfId="21" applyNumberFormat="1" applyFont="1" applyAlignment="1">
      <alignment vertical="center"/>
    </xf>
    <xf numFmtId="39" fontId="11" fillId="0" borderId="0" xfId="21" applyNumberFormat="1" applyFont="1" applyAlignment="1">
      <alignment vertical="center"/>
    </xf>
    <xf numFmtId="0" fontId="12" fillId="0" borderId="18" xfId="17" applyNumberFormat="1" applyFont="1" applyFill="1" applyBorder="1" applyAlignment="1">
      <alignment horizontal="center" vertical="center"/>
    </xf>
    <xf numFmtId="0" fontId="11" fillId="0" borderId="10" xfId="17" applyFont="1" applyBorder="1" applyAlignment="1">
      <alignment vertical="center"/>
    </xf>
    <xf numFmtId="172" fontId="11" fillId="0" borderId="0" xfId="1" applyNumberFormat="1" applyFont="1" applyFill="1" applyAlignment="1">
      <alignment vertical="center"/>
    </xf>
    <xf numFmtId="37" fontId="11" fillId="0" borderId="2" xfId="17" applyNumberFormat="1" applyFont="1" applyBorder="1" applyAlignment="1">
      <alignment horizontal="right" vertical="center"/>
    </xf>
    <xf numFmtId="0" fontId="12" fillId="0" borderId="11" xfId="17" applyNumberFormat="1" applyFont="1" applyFill="1" applyBorder="1" applyAlignment="1">
      <alignment horizontal="center" vertical="center"/>
    </xf>
    <xf numFmtId="0" fontId="12" fillId="0" borderId="1" xfId="17" applyFont="1" applyFill="1" applyBorder="1" applyAlignment="1">
      <alignment horizontal="center" vertical="center"/>
    </xf>
    <xf numFmtId="0" fontId="12" fillId="0" borderId="1" xfId="17" applyFont="1" applyFill="1" applyBorder="1" applyAlignment="1">
      <alignment vertical="center"/>
    </xf>
    <xf numFmtId="0" fontId="12" fillId="0" borderId="11" xfId="17" applyFont="1" applyFill="1" applyBorder="1" applyAlignment="1">
      <alignment horizontal="center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39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39" fontId="11" fillId="0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39" fontId="12" fillId="0" borderId="47" xfId="0" applyNumberFormat="1" applyFont="1" applyBorder="1" applyAlignment="1" applyProtection="1">
      <alignment horizontal="right" vertical="center"/>
    </xf>
    <xf numFmtId="39" fontId="11" fillId="0" borderId="12" xfId="0" applyNumberFormat="1" applyFont="1" applyFill="1" applyBorder="1" applyAlignment="1" applyProtection="1">
      <alignment horizontal="right" vertical="center"/>
    </xf>
    <xf numFmtId="39" fontId="11" fillId="0" borderId="12" xfId="0" applyNumberFormat="1" applyFont="1" applyBorder="1" applyAlignment="1" applyProtection="1">
      <alignment horizontal="right" vertical="center"/>
    </xf>
    <xf numFmtId="39" fontId="11" fillId="0" borderId="12" xfId="3" applyNumberFormat="1" applyFont="1" applyFill="1" applyBorder="1" applyAlignment="1" applyProtection="1">
      <alignment horizontal="right" vertical="center"/>
    </xf>
    <xf numFmtId="39" fontId="11" fillId="0" borderId="12" xfId="3" applyNumberFormat="1" applyFont="1" applyBorder="1" applyAlignment="1" applyProtection="1">
      <alignment horizontal="right" vertical="center"/>
    </xf>
    <xf numFmtId="164" fontId="11" fillId="0" borderId="12" xfId="1" applyFont="1" applyBorder="1" applyAlignment="1">
      <alignment vertical="center"/>
    </xf>
    <xf numFmtId="43" fontId="11" fillId="0" borderId="48" xfId="8" applyFont="1" applyFill="1" applyBorder="1" applyAlignment="1">
      <alignment vertical="center" wrapText="1"/>
    </xf>
    <xf numFmtId="0" fontId="12" fillId="0" borderId="1" xfId="24" applyFont="1" applyFill="1" applyBorder="1" applyAlignment="1" applyProtection="1">
      <alignment horizontal="center" vertical="center"/>
    </xf>
    <xf numFmtId="0" fontId="11" fillId="0" borderId="14" xfId="24" applyFont="1" applyFill="1" applyBorder="1" applyAlignment="1" applyProtection="1">
      <alignment horizontal="center" vertical="center"/>
    </xf>
    <xf numFmtId="0" fontId="11" fillId="0" borderId="34" xfId="24" applyFont="1" applyFill="1" applyBorder="1" applyAlignment="1" applyProtection="1">
      <alignment horizontal="center" vertical="center"/>
    </xf>
    <xf numFmtId="2" fontId="11" fillId="0" borderId="14" xfId="24" applyNumberFormat="1" applyFont="1" applyFill="1" applyBorder="1" applyAlignment="1" applyProtection="1">
      <alignment horizontal="center" vertical="center"/>
    </xf>
    <xf numFmtId="0" fontId="11" fillId="0" borderId="34" xfId="24" applyFont="1" applyFill="1" applyBorder="1" applyAlignment="1" applyProtection="1">
      <alignment horizontal="centerContinuous" vertical="center"/>
    </xf>
    <xf numFmtId="167" fontId="11" fillId="0" borderId="14" xfId="24" applyNumberFormat="1" applyFont="1" applyFill="1" applyBorder="1" applyAlignment="1" applyProtection="1">
      <alignment horizontal="center" vertical="center"/>
    </xf>
    <xf numFmtId="0" fontId="12" fillId="0" borderId="1" xfId="24" applyFont="1" applyFill="1" applyBorder="1" applyAlignment="1" applyProtection="1">
      <alignment horizontal="center" vertical="center" wrapText="1"/>
    </xf>
    <xf numFmtId="0" fontId="12" fillId="0" borderId="35" xfId="0" applyFont="1" applyFill="1" applyBorder="1" applyAlignment="1" applyProtection="1">
      <alignment horizontal="center" vertical="center" wrapText="1"/>
    </xf>
    <xf numFmtId="4" fontId="11" fillId="0" borderId="43" xfId="0" applyNumberFormat="1" applyFont="1" applyFill="1" applyBorder="1" applyAlignment="1" applyProtection="1">
      <alignment horizontal="center" vertical="center"/>
    </xf>
    <xf numFmtId="0" fontId="11" fillId="0" borderId="50" xfId="0" applyNumberFormat="1" applyFont="1" applyFill="1" applyBorder="1" applyAlignment="1" applyProtection="1">
      <alignment horizontal="center" vertical="center"/>
    </xf>
    <xf numFmtId="0" fontId="11" fillId="0" borderId="50" xfId="0" applyFont="1" applyFill="1" applyBorder="1" applyAlignment="1" applyProtection="1">
      <alignment horizontal="center" vertical="center"/>
    </xf>
    <xf numFmtId="4" fontId="11" fillId="0" borderId="43" xfId="1" applyNumberFormat="1" applyFont="1" applyFill="1" applyBorder="1" applyAlignment="1" applyProtection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4" fontId="11" fillId="0" borderId="43" xfId="1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vertical="center"/>
    </xf>
    <xf numFmtId="172" fontId="11" fillId="0" borderId="2" xfId="1" applyNumberFormat="1" applyFont="1" applyFill="1" applyBorder="1" applyAlignment="1">
      <alignment vertical="center"/>
    </xf>
    <xf numFmtId="3" fontId="18" fillId="0" borderId="36" xfId="0" applyNumberFormat="1" applyFont="1" applyBorder="1" applyAlignment="1"/>
    <xf numFmtId="3" fontId="18" fillId="0" borderId="14" xfId="0" applyNumberFormat="1" applyFont="1" applyBorder="1" applyAlignment="1"/>
    <xf numFmtId="0" fontId="11" fillId="0" borderId="12" xfId="0" applyFont="1" applyFill="1" applyBorder="1" applyAlignment="1">
      <alignment vertical="center"/>
    </xf>
    <xf numFmtId="39" fontId="13" fillId="0" borderId="2" xfId="0" applyNumberFormat="1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39" fontId="13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37" fontId="11" fillId="0" borderId="3" xfId="0" applyNumberFormat="1" applyFont="1" applyFill="1" applyBorder="1" applyAlignment="1" applyProtection="1">
      <alignment horizontal="center" vertical="center"/>
    </xf>
    <xf numFmtId="37" fontId="11" fillId="0" borderId="0" xfId="0" applyNumberFormat="1" applyFont="1" applyFill="1" applyBorder="1" applyAlignment="1" applyProtection="1"/>
    <xf numFmtId="3" fontId="11" fillId="0" borderId="3" xfId="1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0" fontId="11" fillId="0" borderId="0" xfId="19" applyFont="1" applyAlignment="1">
      <alignment vertical="center"/>
    </xf>
    <xf numFmtId="0" fontId="11" fillId="0" borderId="3" xfId="24" applyFont="1" applyFill="1" applyBorder="1" applyAlignment="1" applyProtection="1">
      <alignment horizontal="center" vertical="center"/>
    </xf>
    <xf numFmtId="167" fontId="11" fillId="0" borderId="3" xfId="24" applyNumberFormat="1" applyFont="1" applyFill="1" applyBorder="1" applyAlignment="1" applyProtection="1">
      <alignment horizontal="center" vertical="center"/>
    </xf>
    <xf numFmtId="0" fontId="11" fillId="0" borderId="0" xfId="19" applyFont="1"/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3" fontId="11" fillId="0" borderId="3" xfId="10" applyNumberFormat="1" applyFont="1" applyFill="1" applyBorder="1" applyAlignment="1">
      <alignment horizontal="center" vertical="center"/>
    </xf>
    <xf numFmtId="3" fontId="11" fillId="0" borderId="3" xfId="25" applyNumberFormat="1" applyFont="1" applyFill="1" applyBorder="1" applyAlignment="1">
      <alignment horizontal="center" vertical="center"/>
    </xf>
    <xf numFmtId="43" fontId="1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 applyProtection="1"/>
    <xf numFmtId="0" fontId="0" fillId="0" borderId="0" xfId="0" applyFont="1" applyFill="1" applyBorder="1" applyAlignment="1" applyProtection="1"/>
    <xf numFmtId="164" fontId="0" fillId="0" borderId="0" xfId="1" applyFont="1" applyFill="1" applyAlignment="1" applyProtection="1"/>
    <xf numFmtId="37" fontId="0" fillId="0" borderId="0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/>
    <xf numFmtId="37" fontId="0" fillId="0" borderId="0" xfId="0" applyNumberFormat="1" applyFont="1" applyFill="1" applyAlignment="1" applyProtection="1"/>
    <xf numFmtId="0" fontId="0" fillId="0" borderId="0" xfId="0" applyFont="1" applyFill="1" applyAlignment="1" applyProtection="1">
      <alignment horizontal="center"/>
    </xf>
    <xf numFmtId="37" fontId="11" fillId="0" borderId="3" xfId="17" applyNumberFormat="1" applyFont="1" applyFill="1" applyBorder="1" applyAlignment="1">
      <alignment vertical="center"/>
    </xf>
    <xf numFmtId="0" fontId="11" fillId="0" borderId="0" xfId="18" applyFont="1" applyAlignment="1">
      <alignment horizontal="center" vertical="center"/>
    </xf>
    <xf numFmtId="0" fontId="11" fillId="0" borderId="0" xfId="18" applyFont="1" applyAlignment="1">
      <alignment vertical="center"/>
    </xf>
    <xf numFmtId="0" fontId="12" fillId="0" borderId="5" xfId="18" applyFont="1" applyBorder="1" applyAlignment="1">
      <alignment horizontal="center" vertical="center"/>
    </xf>
    <xf numFmtId="0" fontId="12" fillId="0" borderId="1" xfId="18" applyFont="1" applyBorder="1" applyAlignment="1">
      <alignment horizontal="center" vertical="center"/>
    </xf>
    <xf numFmtId="0" fontId="12" fillId="0" borderId="35" xfId="18" applyFont="1" applyBorder="1" applyAlignment="1">
      <alignment horizontal="center" vertical="center"/>
    </xf>
    <xf numFmtId="0" fontId="12" fillId="0" borderId="6" xfId="18" applyFont="1" applyBorder="1" applyAlignment="1">
      <alignment horizontal="center" vertical="center"/>
    </xf>
    <xf numFmtId="0" fontId="11" fillId="0" borderId="10" xfId="18" applyFont="1" applyBorder="1" applyAlignment="1">
      <alignment horizontal="center" vertical="center"/>
    </xf>
    <xf numFmtId="37" fontId="11" fillId="0" borderId="2" xfId="7" applyNumberFormat="1" applyFont="1" applyBorder="1" applyAlignment="1">
      <alignment horizontal="center" vertical="center"/>
    </xf>
    <xf numFmtId="37" fontId="11" fillId="0" borderId="0" xfId="7" applyNumberFormat="1" applyFont="1" applyBorder="1" applyAlignment="1">
      <alignment horizontal="center" vertical="center"/>
    </xf>
    <xf numFmtId="37" fontId="11" fillId="0" borderId="8" xfId="7" applyNumberFormat="1" applyFont="1" applyBorder="1" applyAlignment="1">
      <alignment horizontal="center" vertical="center"/>
    </xf>
    <xf numFmtId="0" fontId="11" fillId="0" borderId="0" xfId="18" applyFont="1" applyBorder="1" applyAlignment="1">
      <alignment vertical="center"/>
    </xf>
    <xf numFmtId="37" fontId="11" fillId="0" borderId="3" xfId="7" applyNumberFormat="1" applyFont="1" applyBorder="1" applyAlignment="1">
      <alignment horizontal="center" vertical="center"/>
    </xf>
    <xf numFmtId="0" fontId="11" fillId="0" borderId="0" xfId="18" applyFont="1" applyAlignment="1">
      <alignment horizontal="center"/>
    </xf>
    <xf numFmtId="0" fontId="11" fillId="0" borderId="0" xfId="18" applyFont="1"/>
    <xf numFmtId="43" fontId="11" fillId="0" borderId="52" xfId="8" applyFont="1" applyBorder="1" applyAlignment="1">
      <alignment vertical="center"/>
    </xf>
    <xf numFmtId="0" fontId="19" fillId="0" borderId="0" xfId="19" applyFont="1" applyAlignment="1">
      <alignment vertical="center"/>
    </xf>
    <xf numFmtId="0" fontId="19" fillId="0" borderId="0" xfId="19" applyFont="1"/>
    <xf numFmtId="0" fontId="11" fillId="0" borderId="0" xfId="20" applyFont="1" applyFill="1" applyAlignment="1">
      <alignment vertical="center"/>
    </xf>
    <xf numFmtId="0" fontId="11" fillId="0" borderId="0" xfId="20" applyFont="1" applyFill="1" applyAlignment="1"/>
    <xf numFmtId="0" fontId="11" fillId="0" borderId="0" xfId="11" applyFont="1" applyAlignment="1">
      <alignment vertical="center"/>
    </xf>
    <xf numFmtId="165" fontId="11" fillId="0" borderId="0" xfId="11" applyNumberFormat="1" applyFont="1" applyAlignment="1">
      <alignment vertical="center"/>
    </xf>
    <xf numFmtId="0" fontId="12" fillId="0" borderId="0" xfId="11" applyFont="1" applyAlignment="1">
      <alignment vertical="center"/>
    </xf>
    <xf numFmtId="165" fontId="12" fillId="0" borderId="0" xfId="11" applyNumberFormat="1" applyFont="1" applyAlignment="1">
      <alignment vertical="center"/>
    </xf>
    <xf numFmtId="0" fontId="11" fillId="0" borderId="0" xfId="11" applyFont="1" applyBorder="1" applyAlignment="1">
      <alignment vertical="center"/>
    </xf>
    <xf numFmtId="0" fontId="12" fillId="0" borderId="16" xfId="11" applyFont="1" applyBorder="1" applyAlignment="1">
      <alignment horizontal="center" vertical="center"/>
    </xf>
    <xf numFmtId="37" fontId="12" fillId="0" borderId="16" xfId="11" applyNumberFormat="1" applyFont="1" applyBorder="1" applyAlignment="1" applyProtection="1">
      <alignment horizontal="center" vertical="center"/>
    </xf>
    <xf numFmtId="37" fontId="12" fillId="0" borderId="12" xfId="11" applyNumberFormat="1" applyFont="1" applyBorder="1" applyAlignment="1" applyProtection="1">
      <alignment horizontal="center" vertical="center"/>
    </xf>
    <xf numFmtId="0" fontId="11" fillId="0" borderId="37" xfId="11" applyFont="1" applyBorder="1" applyAlignment="1">
      <alignment vertical="center"/>
    </xf>
    <xf numFmtId="0" fontId="11" fillId="0" borderId="34" xfId="11" applyFont="1" applyBorder="1" applyAlignment="1">
      <alignment vertical="center"/>
    </xf>
    <xf numFmtId="43" fontId="11" fillId="0" borderId="0" xfId="11" applyNumberFormat="1" applyFont="1" applyAlignment="1">
      <alignment vertical="center"/>
    </xf>
    <xf numFmtId="168" fontId="11" fillId="0" borderId="0" xfId="2" applyFont="1" applyAlignment="1">
      <alignment vertical="center"/>
    </xf>
    <xf numFmtId="0" fontId="11" fillId="0" borderId="34" xfId="11" applyFont="1" applyFill="1" applyBorder="1" applyAlignment="1">
      <alignment vertical="center"/>
    </xf>
    <xf numFmtId="0" fontId="11" fillId="0" borderId="12" xfId="11" applyFont="1" applyBorder="1" applyAlignment="1">
      <alignment vertical="center"/>
    </xf>
    <xf numFmtId="0" fontId="12" fillId="0" borderId="18" xfId="11" applyFont="1" applyBorder="1" applyAlignment="1">
      <alignment horizontal="center" vertical="center"/>
    </xf>
    <xf numFmtId="37" fontId="11" fillId="0" borderId="0" xfId="11" applyNumberFormat="1" applyFont="1" applyAlignment="1" applyProtection="1">
      <alignment horizontal="right" vertical="center"/>
    </xf>
    <xf numFmtId="0" fontId="11" fillId="0" borderId="0" xfId="11" applyFont="1" applyAlignment="1">
      <alignment horizontal="right" vertical="center"/>
    </xf>
    <xf numFmtId="170" fontId="11" fillId="0" borderId="0" xfId="11" applyNumberFormat="1" applyFont="1" applyAlignment="1">
      <alignment vertical="center"/>
    </xf>
    <xf numFmtId="39" fontId="11" fillId="0" borderId="0" xfId="11" applyNumberFormat="1" applyFont="1" applyAlignment="1">
      <alignment vertical="center"/>
    </xf>
    <xf numFmtId="165" fontId="12" fillId="0" borderId="0" xfId="11" applyNumberFormat="1" applyFont="1" applyAlignment="1" applyProtection="1">
      <alignment vertical="center"/>
    </xf>
    <xf numFmtId="37" fontId="11" fillId="0" borderId="0" xfId="11" applyNumberFormat="1" applyFont="1" applyAlignment="1" applyProtection="1">
      <alignment vertical="center"/>
    </xf>
    <xf numFmtId="0" fontId="11" fillId="0" borderId="0" xfId="11" applyFont="1" applyAlignment="1"/>
    <xf numFmtId="165" fontId="11" fillId="0" borderId="0" xfId="11" applyNumberFormat="1" applyFont="1" applyAlignment="1"/>
    <xf numFmtId="37" fontId="11" fillId="0" borderId="0" xfId="11" applyNumberFormat="1" applyFont="1" applyBorder="1" applyAlignment="1" applyProtection="1"/>
    <xf numFmtId="0" fontId="11" fillId="0" borderId="0" xfId="11" applyFont="1" applyAlignment="1">
      <alignment horizontal="left"/>
    </xf>
    <xf numFmtId="37" fontId="11" fillId="0" borderId="0" xfId="11" applyNumberFormat="1" applyFont="1" applyAlignment="1" applyProtection="1"/>
    <xf numFmtId="165" fontId="11" fillId="0" borderId="0" xfId="11" applyNumberFormat="1" applyFont="1" applyAlignment="1" applyProtection="1"/>
    <xf numFmtId="0" fontId="11" fillId="0" borderId="0" xfId="11" applyFont="1" applyBorder="1" applyAlignment="1">
      <alignment horizontal="center"/>
    </xf>
    <xf numFmtId="0" fontId="11" fillId="0" borderId="0" xfId="11" applyFont="1" applyAlignment="1">
      <alignment horizontal="center"/>
    </xf>
    <xf numFmtId="37" fontId="11" fillId="0" borderId="0" xfId="11" applyNumberFormat="1" applyFont="1" applyAlignment="1" applyProtection="1">
      <alignment horizontal="center"/>
    </xf>
    <xf numFmtId="165" fontId="11" fillId="0" borderId="0" xfId="11" applyNumberFormat="1" applyFont="1" applyAlignment="1" applyProtection="1">
      <alignment horizontal="center"/>
    </xf>
    <xf numFmtId="0" fontId="11" fillId="0" borderId="0" xfId="11" applyFont="1" applyBorder="1" applyAlignment="1"/>
    <xf numFmtId="165" fontId="11" fillId="0" borderId="0" xfId="11" applyNumberFormat="1" applyFont="1" applyBorder="1" applyAlignment="1" applyProtection="1"/>
    <xf numFmtId="0" fontId="12" fillId="0" borderId="0" xfId="11" applyFont="1" applyBorder="1" applyAlignment="1"/>
    <xf numFmtId="165" fontId="12" fillId="0" borderId="0" xfId="11" applyNumberFormat="1" applyFont="1" applyBorder="1" applyAlignment="1"/>
    <xf numFmtId="0" fontId="12" fillId="0" borderId="0" xfId="11" applyFont="1" applyBorder="1" applyAlignment="1">
      <alignment horizontal="right"/>
    </xf>
    <xf numFmtId="37" fontId="12" fillId="0" borderId="0" xfId="11" applyNumberFormat="1" applyFont="1" applyBorder="1" applyAlignment="1" applyProtection="1">
      <alignment horizontal="center"/>
    </xf>
    <xf numFmtId="37" fontId="12" fillId="0" borderId="0" xfId="11" applyNumberFormat="1" applyFont="1" applyBorder="1" applyAlignment="1" applyProtection="1"/>
    <xf numFmtId="165" fontId="12" fillId="0" borderId="0" xfId="11" applyNumberFormat="1" applyFont="1" applyBorder="1" applyAlignment="1" applyProtection="1"/>
    <xf numFmtId="165" fontId="12" fillId="0" borderId="0" xfId="11" applyNumberFormat="1" applyFont="1" applyBorder="1" applyAlignment="1" applyProtection="1">
      <alignment horizontal="center"/>
    </xf>
    <xf numFmtId="0" fontId="12" fillId="0" borderId="0" xfId="11" applyFont="1" applyBorder="1" applyAlignment="1">
      <alignment horizontal="center"/>
    </xf>
    <xf numFmtId="165" fontId="11" fillId="0" borderId="0" xfId="11" applyNumberFormat="1" applyFont="1" applyBorder="1" applyAlignment="1"/>
    <xf numFmtId="37" fontId="11" fillId="0" borderId="0" xfId="11" applyNumberFormat="1" applyFont="1" applyBorder="1" applyAlignment="1" applyProtection="1">
      <alignment horizontal="center"/>
    </xf>
    <xf numFmtId="37" fontId="12" fillId="0" borderId="9" xfId="11" applyNumberFormat="1" applyFont="1" applyBorder="1" applyAlignment="1" applyProtection="1">
      <alignment horizontal="center" vertical="center"/>
    </xf>
    <xf numFmtId="0" fontId="12" fillId="0" borderId="9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37" fontId="12" fillId="0" borderId="3" xfId="11" applyNumberFormat="1" applyFont="1" applyBorder="1" applyAlignment="1" applyProtection="1">
      <alignment horizontal="center" vertical="center"/>
    </xf>
    <xf numFmtId="168" fontId="11" fillId="0" borderId="0" xfId="2" applyFont="1" applyAlignment="1"/>
    <xf numFmtId="0" fontId="11" fillId="0" borderId="2" xfId="24" applyFont="1" applyFill="1" applyBorder="1" applyAlignment="1" applyProtection="1">
      <alignment horizontal="center" vertical="center"/>
    </xf>
    <xf numFmtId="167" fontId="11" fillId="0" borderId="2" xfId="24" applyNumberFormat="1" applyFont="1" applyFill="1" applyBorder="1" applyAlignment="1" applyProtection="1">
      <alignment horizontal="center" vertical="center"/>
    </xf>
    <xf numFmtId="4" fontId="11" fillId="0" borderId="2" xfId="1" applyNumberFormat="1" applyFont="1" applyFill="1" applyBorder="1" applyAlignment="1" applyProtection="1">
      <alignment horizontal="center" vertical="center"/>
    </xf>
    <xf numFmtId="0" fontId="11" fillId="0" borderId="13" xfId="18" applyFont="1" applyBorder="1" applyAlignment="1">
      <alignment horizontal="center" vertical="center"/>
    </xf>
    <xf numFmtId="37" fontId="11" fillId="0" borderId="11" xfId="7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164" fontId="11" fillId="0" borderId="0" xfId="1" applyFont="1" applyAlignment="1">
      <alignment vertical="center"/>
    </xf>
    <xf numFmtId="43" fontId="11" fillId="0" borderId="0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Fill="1" applyBorder="1" applyAlignment="1" applyProtection="1">
      <alignment horizontal="center" vertical="center"/>
    </xf>
    <xf numFmtId="37" fontId="11" fillId="0" borderId="2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43" fontId="11" fillId="0" borderId="51" xfId="27" applyFont="1" applyBorder="1" applyAlignment="1">
      <alignment vertical="center"/>
    </xf>
    <xf numFmtId="43" fontId="11" fillId="0" borderId="49" xfId="27" applyFont="1" applyFill="1" applyBorder="1" applyAlignment="1">
      <alignment vertical="center" wrapText="1"/>
    </xf>
    <xf numFmtId="43" fontId="11" fillId="0" borderId="52" xfId="27" applyFont="1" applyBorder="1" applyAlignment="1">
      <alignment vertical="center"/>
    </xf>
    <xf numFmtId="43" fontId="11" fillId="0" borderId="48" xfId="27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72" fontId="11" fillId="0" borderId="0" xfId="1" applyNumberFormat="1" applyFont="1" applyFill="1" applyBorder="1" applyAlignment="1">
      <alignment horizontal="right" vertical="center"/>
    </xf>
    <xf numFmtId="0" fontId="12" fillId="0" borderId="0" xfId="22" applyFont="1" applyFill="1" applyAlignment="1">
      <alignment vertical="center"/>
    </xf>
    <xf numFmtId="0" fontId="12" fillId="0" borderId="2" xfId="22" applyFont="1" applyFill="1" applyBorder="1" applyAlignment="1">
      <alignment horizontal="left" vertical="center"/>
    </xf>
    <xf numFmtId="172" fontId="12" fillId="0" borderId="8" xfId="1" applyNumberFormat="1" applyFont="1" applyFill="1" applyBorder="1" applyAlignment="1">
      <alignment horizontal="right" vertical="center"/>
    </xf>
    <xf numFmtId="43" fontId="11" fillId="0" borderId="3" xfId="8" applyFont="1" applyBorder="1" applyAlignment="1">
      <alignment vertical="center"/>
    </xf>
    <xf numFmtId="172" fontId="11" fillId="0" borderId="0" xfId="1" applyNumberFormat="1" applyFont="1" applyFill="1" applyBorder="1" applyAlignment="1" applyProtection="1">
      <alignment horizontal="center" vertical="center"/>
    </xf>
    <xf numFmtId="43" fontId="11" fillId="0" borderId="3" xfId="27" applyFont="1" applyBorder="1" applyAlignment="1">
      <alignment vertical="center"/>
    </xf>
    <xf numFmtId="172" fontId="5" fillId="0" borderId="0" xfId="1" applyNumberFormat="1" applyFont="1" applyFill="1" applyAlignment="1">
      <alignment vertical="center"/>
    </xf>
    <xf numFmtId="171" fontId="11" fillId="0" borderId="0" xfId="15" applyNumberFormat="1" applyFont="1" applyFill="1" applyAlignment="1">
      <alignment vertical="center"/>
    </xf>
    <xf numFmtId="3" fontId="11" fillId="0" borderId="2" xfId="11" applyNumberFormat="1" applyFont="1" applyFill="1" applyBorder="1" applyAlignment="1">
      <alignment vertical="center"/>
    </xf>
    <xf numFmtId="3" fontId="11" fillId="0" borderId="34" xfId="11" applyNumberFormat="1" applyFont="1" applyFill="1" applyBorder="1" applyAlignment="1">
      <alignment vertical="center"/>
    </xf>
    <xf numFmtId="0" fontId="11" fillId="0" borderId="34" xfId="21" applyFont="1" applyFill="1" applyBorder="1" applyAlignment="1">
      <alignment vertical="center"/>
    </xf>
    <xf numFmtId="0" fontId="11" fillId="0" borderId="2" xfId="21" applyFont="1" applyFill="1" applyBorder="1" applyAlignment="1">
      <alignment vertical="center"/>
    </xf>
    <xf numFmtId="171" fontId="11" fillId="0" borderId="0" xfId="2" applyNumberFormat="1" applyFont="1" applyAlignment="1">
      <alignment vertical="center"/>
    </xf>
    <xf numFmtId="3" fontId="11" fillId="0" borderId="3" xfId="1" applyNumberFormat="1" applyFont="1" applyFill="1" applyBorder="1" applyAlignment="1" applyProtection="1">
      <alignment horizontal="center" vertical="center"/>
    </xf>
    <xf numFmtId="37" fontId="12" fillId="0" borderId="0" xfId="15" applyNumberFormat="1" applyFont="1" applyFill="1" applyBorder="1" applyAlignment="1">
      <alignment vertical="center"/>
    </xf>
    <xf numFmtId="172" fontId="11" fillId="0" borderId="2" xfId="2" applyNumberFormat="1" applyFont="1" applyFill="1" applyBorder="1" applyAlignment="1">
      <alignment horizontal="right" vertical="center"/>
    </xf>
    <xf numFmtId="172" fontId="11" fillId="0" borderId="12" xfId="2" applyNumberFormat="1" applyFont="1" applyFill="1" applyBorder="1" applyAlignment="1">
      <alignment vertical="center"/>
    </xf>
    <xf numFmtId="172" fontId="11" fillId="0" borderId="12" xfId="1" applyNumberFormat="1" applyFont="1" applyFill="1" applyBorder="1" applyAlignment="1">
      <alignment vertical="center"/>
    </xf>
    <xf numFmtId="172" fontId="11" fillId="0" borderId="10" xfId="2" applyNumberFormat="1" applyFont="1" applyFill="1" applyBorder="1" applyAlignment="1">
      <alignment horizontal="right" vertical="center"/>
    </xf>
    <xf numFmtId="172" fontId="11" fillId="0" borderId="2" xfId="2" applyNumberFormat="1" applyFont="1" applyFill="1" applyBorder="1" applyAlignment="1">
      <alignment vertical="center"/>
    </xf>
    <xf numFmtId="172" fontId="11" fillId="0" borderId="34" xfId="2" applyNumberFormat="1" applyFont="1" applyFill="1" applyBorder="1" applyAlignment="1">
      <alignment horizontal="right" vertical="center"/>
    </xf>
    <xf numFmtId="172" fontId="11" fillId="0" borderId="12" xfId="2" applyNumberFormat="1" applyFont="1" applyFill="1" applyBorder="1" applyAlignment="1">
      <alignment horizontal="right" vertical="center"/>
    </xf>
    <xf numFmtId="172" fontId="11" fillId="0" borderId="10" xfId="2" applyNumberFormat="1" applyFont="1" applyFill="1" applyBorder="1" applyAlignment="1">
      <alignment vertical="center"/>
    </xf>
    <xf numFmtId="172" fontId="12" fillId="0" borderId="1" xfId="2" applyNumberFormat="1" applyFont="1" applyFill="1" applyBorder="1" applyAlignment="1">
      <alignment horizontal="right" vertical="center"/>
    </xf>
    <xf numFmtId="172" fontId="11" fillId="0" borderId="32" xfId="2" applyNumberFormat="1" applyFont="1" applyFill="1" applyBorder="1" applyAlignment="1">
      <alignment vertical="center"/>
    </xf>
    <xf numFmtId="172" fontId="11" fillId="0" borderId="38" xfId="2" applyNumberFormat="1" applyFont="1" applyFill="1" applyBorder="1" applyAlignment="1">
      <alignment vertical="center"/>
    </xf>
    <xf numFmtId="172" fontId="11" fillId="0" borderId="14" xfId="2" applyNumberFormat="1" applyFont="1" applyFill="1" applyBorder="1" applyAlignment="1">
      <alignment vertical="center"/>
    </xf>
    <xf numFmtId="172" fontId="11" fillId="0" borderId="0" xfId="2" applyNumberFormat="1" applyFont="1" applyFill="1" applyBorder="1" applyAlignment="1">
      <alignment vertical="center"/>
    </xf>
    <xf numFmtId="172" fontId="11" fillId="0" borderId="12" xfId="2" applyNumberFormat="1" applyFont="1" applyBorder="1" applyAlignment="1">
      <alignment vertical="center"/>
    </xf>
    <xf numFmtId="172" fontId="12" fillId="0" borderId="18" xfId="2" applyNumberFormat="1" applyFont="1" applyFill="1" applyBorder="1" applyAlignment="1">
      <alignment horizontal="right" vertical="center"/>
    </xf>
    <xf numFmtId="172" fontId="12" fillId="0" borderId="33" xfId="1" applyNumberFormat="1" applyFont="1" applyFill="1" applyBorder="1" applyAlignment="1">
      <alignment horizontal="right" vertical="center"/>
    </xf>
    <xf numFmtId="1" fontId="11" fillId="0" borderId="12" xfId="1" applyNumberFormat="1" applyFont="1" applyFill="1" applyBorder="1" applyAlignment="1">
      <alignment vertical="center"/>
    </xf>
    <xf numFmtId="39" fontId="13" fillId="0" borderId="0" xfId="0" applyNumberFormat="1" applyFont="1" applyFill="1" applyBorder="1" applyAlignment="1">
      <alignment horizontal="center" vertical="center"/>
    </xf>
    <xf numFmtId="3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23" applyFont="1" applyFill="1" applyBorder="1" applyAlignment="1">
      <alignment horizontal="center" vertical="center"/>
    </xf>
    <xf numFmtId="0" fontId="12" fillId="0" borderId="0" xfId="25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>
      <alignment horizontal="center" vertical="center"/>
    </xf>
    <xf numFmtId="0" fontId="12" fillId="0" borderId="0" xfId="15" applyNumberFormat="1" applyFont="1" applyFill="1" applyBorder="1" applyAlignment="1">
      <alignment horizontal="center" vertical="center"/>
    </xf>
    <xf numFmtId="0" fontId="12" fillId="0" borderId="0" xfId="17" applyFont="1" applyFill="1" applyAlignment="1">
      <alignment horizontal="center" vertical="center"/>
    </xf>
    <xf numFmtId="0" fontId="12" fillId="0" borderId="21" xfId="11" applyFont="1" applyBorder="1" applyAlignment="1">
      <alignment horizontal="center" vertical="center"/>
    </xf>
    <xf numFmtId="37" fontId="12" fillId="0" borderId="21" xfId="11" applyNumberFormat="1" applyFont="1" applyBorder="1" applyAlignment="1" applyProtection="1">
      <alignment horizontal="center" vertical="center"/>
    </xf>
    <xf numFmtId="0" fontId="12" fillId="0" borderId="0" xfId="21" applyFont="1" applyBorder="1" applyAlignment="1">
      <alignment horizontal="center" vertical="center"/>
    </xf>
    <xf numFmtId="0" fontId="12" fillId="0" borderId="0" xfId="17" applyNumberFormat="1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165" fontId="11" fillId="0" borderId="10" xfId="28" applyNumberFormat="1" applyFont="1" applyFill="1" applyBorder="1" applyAlignment="1">
      <alignment vertical="center"/>
    </xf>
    <xf numFmtId="39" fontId="11" fillId="0" borderId="2" xfId="29" applyNumberFormat="1" applyFont="1" applyFill="1" applyBorder="1" applyAlignment="1" applyProtection="1">
      <alignment horizontal="right" vertical="center"/>
    </xf>
    <xf numFmtId="165" fontId="12" fillId="0" borderId="5" xfId="28" applyNumberFormat="1" applyFont="1" applyFill="1" applyBorder="1" applyAlignment="1">
      <alignment horizontal="center" vertical="center"/>
    </xf>
    <xf numFmtId="39" fontId="12" fillId="0" borderId="1" xfId="29" applyNumberFormat="1" applyFont="1" applyFill="1" applyBorder="1" applyAlignment="1" applyProtection="1">
      <alignment horizontal="right" vertical="center"/>
    </xf>
    <xf numFmtId="39" fontId="11" fillId="0" borderId="2" xfId="29" applyNumberFormat="1" applyFont="1" applyFill="1" applyBorder="1" applyAlignment="1">
      <alignment horizontal="right" vertical="center"/>
    </xf>
    <xf numFmtId="0" fontId="3" fillId="0" borderId="4" xfId="28" applyFont="1" applyFill="1" applyBorder="1" applyAlignment="1">
      <alignment horizontal="left" vertical="center"/>
    </xf>
    <xf numFmtId="0" fontId="3" fillId="0" borderId="0" xfId="28" applyFont="1" applyFill="1" applyAlignment="1">
      <alignment vertical="center"/>
    </xf>
    <xf numFmtId="0" fontId="12" fillId="0" borderId="1" xfId="28" applyFont="1" applyFill="1" applyBorder="1" applyAlignment="1">
      <alignment horizontal="center" vertical="center" wrapText="1"/>
    </xf>
    <xf numFmtId="0" fontId="11" fillId="0" borderId="9" xfId="28" applyFont="1" applyFill="1" applyBorder="1" applyAlignment="1">
      <alignment vertical="center"/>
    </xf>
    <xf numFmtId="43" fontId="11" fillId="0" borderId="2" xfId="29" applyFont="1" applyFill="1" applyBorder="1" applyAlignment="1">
      <alignment vertical="center"/>
    </xf>
    <xf numFmtId="0" fontId="11" fillId="0" borderId="2" xfId="28" applyFont="1" applyFill="1" applyBorder="1" applyAlignment="1">
      <alignment vertical="center"/>
    </xf>
    <xf numFmtId="0" fontId="12" fillId="0" borderId="1" xfId="28" applyFont="1" applyFill="1" applyBorder="1" applyAlignment="1">
      <alignment horizontal="center" vertical="center"/>
    </xf>
    <xf numFmtId="43" fontId="12" fillId="0" borderId="1" xfId="29" applyFont="1" applyFill="1" applyBorder="1" applyAlignment="1">
      <alignment vertical="center"/>
    </xf>
    <xf numFmtId="43" fontId="11" fillId="0" borderId="9" xfId="29" applyFont="1" applyFill="1" applyBorder="1" applyAlignment="1">
      <alignment vertical="center"/>
    </xf>
    <xf numFmtId="0" fontId="11" fillId="0" borderId="2" xfId="29" applyNumberFormat="1" applyFont="1" applyFill="1" applyBorder="1" applyAlignment="1">
      <alignment horizontal="right" vertical="center" indent="1"/>
    </xf>
    <xf numFmtId="0" fontId="12" fillId="0" borderId="0" xfId="0" applyFont="1" applyBorder="1" applyAlignment="1">
      <alignment vertical="center"/>
    </xf>
    <xf numFmtId="0" fontId="12" fillId="0" borderId="0" xfId="24" applyFont="1" applyFill="1" applyAlignment="1" applyProtection="1">
      <alignment vertical="center"/>
    </xf>
    <xf numFmtId="37" fontId="11" fillId="0" borderId="2" xfId="15" applyNumberFormat="1" applyFont="1" applyFill="1" applyBorder="1" applyAlignment="1">
      <alignment horizontal="right" vertical="center"/>
    </xf>
    <xf numFmtId="0" fontId="11" fillId="2" borderId="0" xfId="15" applyNumberFormat="1" applyFont="1" applyFill="1" applyAlignment="1">
      <alignment vertical="center"/>
    </xf>
    <xf numFmtId="0" fontId="11" fillId="0" borderId="0" xfId="28" applyFont="1" applyAlignment="1">
      <alignment vertical="center"/>
    </xf>
    <xf numFmtId="0" fontId="11" fillId="0" borderId="9" xfId="28" applyFont="1" applyBorder="1" applyAlignment="1">
      <alignment horizontal="center" vertical="center"/>
    </xf>
    <xf numFmtId="0" fontId="11" fillId="0" borderId="2" xfId="28" applyFont="1" applyBorder="1" applyAlignment="1">
      <alignment horizontal="center" vertical="center"/>
    </xf>
    <xf numFmtId="0" fontId="11" fillId="0" borderId="3" xfId="28" applyFont="1" applyBorder="1" applyAlignment="1">
      <alignment horizontal="center" vertical="center"/>
    </xf>
    <xf numFmtId="0" fontId="12" fillId="0" borderId="1" xfId="28" applyFont="1" applyBorder="1" applyAlignment="1">
      <alignment horizontal="center" vertical="center"/>
    </xf>
    <xf numFmtId="0" fontId="3" fillId="0" borderId="0" xfId="28" applyFont="1" applyAlignment="1">
      <alignment vertical="center"/>
    </xf>
    <xf numFmtId="0" fontId="12" fillId="0" borderId="1" xfId="28" applyFont="1" applyBorder="1" applyAlignment="1">
      <alignment horizontal="center" vertical="center" wrapText="1"/>
    </xf>
    <xf numFmtId="0" fontId="22" fillId="0" borderId="0" xfId="28" applyFont="1" applyAlignment="1">
      <alignment vertical="center"/>
    </xf>
    <xf numFmtId="0" fontId="23" fillId="0" borderId="0" xfId="28" applyFont="1" applyAlignment="1">
      <alignment vertical="center"/>
    </xf>
    <xf numFmtId="0" fontId="23" fillId="0" borderId="1" xfId="28" applyFont="1" applyBorder="1" applyAlignment="1">
      <alignment horizontal="center" vertical="center"/>
    </xf>
    <xf numFmtId="0" fontId="11" fillId="0" borderId="1" xfId="28" applyFont="1" applyBorder="1" applyAlignment="1">
      <alignment vertical="center"/>
    </xf>
    <xf numFmtId="168" fontId="11" fillId="0" borderId="1" xfId="29" applyNumberFormat="1" applyFont="1" applyBorder="1" applyAlignment="1">
      <alignment vertical="center"/>
    </xf>
    <xf numFmtId="0" fontId="11" fillId="0" borderId="1" xfId="29" applyNumberFormat="1" applyFont="1" applyBorder="1" applyAlignment="1">
      <alignment horizontal="right" vertical="center" indent="1"/>
    </xf>
    <xf numFmtId="0" fontId="3" fillId="0" borderId="0" xfId="28" applyFont="1" applyAlignment="1">
      <alignment horizontal="left" vertical="center"/>
    </xf>
    <xf numFmtId="0" fontId="19" fillId="0" borderId="0" xfId="28" applyFont="1" applyAlignment="1">
      <alignment vertical="center"/>
    </xf>
    <xf numFmtId="0" fontId="19" fillId="0" borderId="0" xfId="28" applyFont="1"/>
    <xf numFmtId="0" fontId="23" fillId="0" borderId="0" xfId="28" applyFont="1" applyFill="1" applyAlignment="1">
      <alignment horizontal="center" vertical="center"/>
    </xf>
    <xf numFmtId="0" fontId="19" fillId="0" borderId="0" xfId="28" applyFont="1" applyFill="1"/>
    <xf numFmtId="0" fontId="12" fillId="0" borderId="1" xfId="28" applyFont="1" applyFill="1" applyBorder="1" applyAlignment="1">
      <alignment horizontal="center"/>
    </xf>
    <xf numFmtId="0" fontId="11" fillId="0" borderId="1" xfId="28" applyFont="1" applyFill="1" applyBorder="1" applyAlignment="1">
      <alignment horizontal="center" vertical="center" wrapText="1"/>
    </xf>
    <xf numFmtId="3" fontId="11" fillId="0" borderId="1" xfId="28" applyNumberFormat="1" applyFont="1" applyFill="1" applyBorder="1" applyAlignment="1">
      <alignment horizontal="right" vertical="center" wrapText="1" indent="2"/>
    </xf>
    <xf numFmtId="0" fontId="3" fillId="0" borderId="0" xfId="28" applyFont="1" applyFill="1"/>
    <xf numFmtId="0" fontId="3" fillId="0" borderId="0" xfId="28" applyFont="1" applyFill="1" applyAlignment="1">
      <alignment horizontal="left" vertical="center"/>
    </xf>
    <xf numFmtId="0" fontId="3" fillId="0" borderId="0" xfId="28" applyFont="1" applyFill="1" applyAlignment="1">
      <alignment horizontal="left"/>
    </xf>
    <xf numFmtId="0" fontId="23" fillId="0" borderId="0" xfId="28" applyFont="1" applyFill="1" applyAlignment="1">
      <alignment horizontal="left" vertical="center"/>
    </xf>
    <xf numFmtId="0" fontId="11" fillId="0" borderId="0" xfId="28" applyFont="1" applyFill="1" applyBorder="1" applyAlignment="1">
      <alignment vertical="center" wrapText="1"/>
    </xf>
    <xf numFmtId="0" fontId="11" fillId="0" borderId="1" xfId="28" applyFont="1" applyFill="1" applyBorder="1" applyAlignment="1">
      <alignment horizontal="left" vertical="center" wrapText="1"/>
    </xf>
    <xf numFmtId="3" fontId="11" fillId="0" borderId="1" xfId="28" applyNumberFormat="1" applyFont="1" applyFill="1" applyBorder="1" applyAlignment="1">
      <alignment horizontal="right" vertical="center" wrapText="1" indent="4"/>
    </xf>
    <xf numFmtId="3" fontId="12" fillId="0" borderId="1" xfId="28" applyNumberFormat="1" applyFont="1" applyFill="1" applyBorder="1" applyAlignment="1">
      <alignment horizontal="right" vertical="center" indent="4"/>
    </xf>
    <xf numFmtId="0" fontId="11" fillId="0" borderId="1" xfId="28" applyFont="1" applyFill="1" applyBorder="1" applyAlignment="1">
      <alignment horizontal="center" vertical="center"/>
    </xf>
    <xf numFmtId="3" fontId="11" fillId="0" borderId="1" xfId="29" applyNumberFormat="1" applyFont="1" applyFill="1" applyBorder="1" applyAlignment="1">
      <alignment horizontal="right" vertical="center" indent="4"/>
    </xf>
    <xf numFmtId="3" fontId="12" fillId="0" borderId="1" xfId="29" applyNumberFormat="1" applyFont="1" applyFill="1" applyBorder="1" applyAlignment="1">
      <alignment horizontal="right" vertical="center" indent="4"/>
    </xf>
    <xf numFmtId="168" fontId="11" fillId="0" borderId="0" xfId="29" applyNumberFormat="1" applyFont="1" applyFill="1" applyBorder="1" applyAlignment="1">
      <alignment horizontal="right" vertical="center"/>
    </xf>
    <xf numFmtId="0" fontId="23" fillId="0" borderId="1" xfId="28" applyFont="1" applyFill="1" applyBorder="1" applyAlignment="1">
      <alignment horizontal="center" vertical="center" wrapText="1"/>
    </xf>
    <xf numFmtId="0" fontId="11" fillId="0" borderId="1" xfId="28" applyFont="1" applyFill="1" applyBorder="1" applyAlignment="1">
      <alignment vertical="center" wrapText="1"/>
    </xf>
    <xf numFmtId="37" fontId="11" fillId="0" borderId="1" xfId="29" applyNumberFormat="1" applyFont="1" applyFill="1" applyBorder="1" applyAlignment="1">
      <alignment horizontal="right" vertical="center" indent="3"/>
    </xf>
    <xf numFmtId="37" fontId="12" fillId="0" borderId="1" xfId="29" applyNumberFormat="1" applyFont="1" applyFill="1" applyBorder="1" applyAlignment="1">
      <alignment horizontal="right" vertical="center" indent="3"/>
    </xf>
    <xf numFmtId="172" fontId="11" fillId="0" borderId="2" xfId="1" applyNumberFormat="1" applyFont="1" applyBorder="1" applyAlignment="1">
      <alignment vertical="center"/>
    </xf>
    <xf numFmtId="172" fontId="12" fillId="0" borderId="2" xfId="1" applyNumberFormat="1" applyFont="1" applyFill="1" applyBorder="1" applyAlignment="1">
      <alignment vertical="center"/>
    </xf>
    <xf numFmtId="172" fontId="12" fillId="0" borderId="2" xfId="1" applyNumberFormat="1" applyFont="1" applyFill="1" applyBorder="1" applyAlignment="1">
      <alignment horizontal="right" vertical="center"/>
    </xf>
    <xf numFmtId="171" fontId="11" fillId="0" borderId="2" xfId="1" applyNumberFormat="1" applyFont="1" applyFill="1" applyBorder="1" applyAlignment="1">
      <alignment horizontal="right" vertical="center"/>
    </xf>
    <xf numFmtId="171" fontId="11" fillId="0" borderId="2" xfId="1" applyNumberFormat="1" applyFont="1" applyFill="1" applyBorder="1" applyAlignment="1">
      <alignment vertical="center"/>
    </xf>
    <xf numFmtId="172" fontId="12" fillId="0" borderId="2" xfId="0" applyNumberFormat="1" applyFont="1" applyFill="1" applyBorder="1" applyAlignment="1">
      <alignment vertical="center"/>
    </xf>
    <xf numFmtId="171" fontId="12" fillId="0" borderId="3" xfId="1" applyNumberFormat="1" applyFont="1" applyFill="1" applyBorder="1" applyAlignment="1">
      <alignment horizontal="right" vertical="center"/>
    </xf>
    <xf numFmtId="43" fontId="11" fillId="0" borderId="2" xfId="29" applyFont="1" applyFill="1" applyBorder="1" applyAlignment="1">
      <alignment horizontal="right" vertical="center"/>
    </xf>
    <xf numFmtId="2" fontId="11" fillId="0" borderId="2" xfId="29" applyNumberFormat="1" applyFont="1" applyFill="1" applyBorder="1" applyAlignment="1">
      <alignment horizontal="right" vertical="center" indent="1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28" applyFont="1" applyFill="1" applyAlignment="1">
      <alignment horizontal="center" vertical="center"/>
    </xf>
    <xf numFmtId="0" fontId="12" fillId="0" borderId="0" xfId="22" applyFont="1" applyFill="1" applyAlignment="1">
      <alignment horizontal="center" vertical="center"/>
    </xf>
    <xf numFmtId="0" fontId="12" fillId="0" borderId="0" xfId="23" applyFont="1" applyFill="1" applyBorder="1" applyAlignment="1">
      <alignment horizontal="center" vertical="center"/>
    </xf>
    <xf numFmtId="0" fontId="12" fillId="0" borderId="0" xfId="23" applyFont="1" applyFill="1" applyAlignment="1">
      <alignment horizontal="center" vertical="center" wrapText="1"/>
    </xf>
    <xf numFmtId="0" fontId="12" fillId="0" borderId="0" xfId="23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24" applyFont="1" applyFill="1" applyAlignment="1" applyProtection="1">
      <alignment horizontal="center" vertical="center"/>
    </xf>
    <xf numFmtId="0" fontId="12" fillId="0" borderId="0" xfId="28" applyFont="1" applyAlignment="1">
      <alignment horizontal="center" vertical="center"/>
    </xf>
    <xf numFmtId="0" fontId="23" fillId="0" borderId="1" xfId="28" applyFont="1" applyBorder="1" applyAlignment="1">
      <alignment horizontal="center" vertical="center"/>
    </xf>
    <xf numFmtId="0" fontId="23" fillId="0" borderId="5" xfId="28" applyFont="1" applyBorder="1" applyAlignment="1">
      <alignment horizontal="center" vertical="center"/>
    </xf>
    <xf numFmtId="0" fontId="23" fillId="0" borderId="6" xfId="28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25" applyFont="1" applyFill="1" applyBorder="1" applyAlignment="1">
      <alignment horizontal="center" vertical="center" wrapText="1"/>
    </xf>
    <xf numFmtId="0" fontId="12" fillId="0" borderId="3" xfId="25" applyFont="1" applyFill="1" applyBorder="1" applyAlignment="1">
      <alignment horizontal="center" vertical="center" wrapText="1"/>
    </xf>
    <xf numFmtId="0" fontId="12" fillId="0" borderId="9" xfId="25" applyFont="1" applyFill="1" applyBorder="1" applyAlignment="1">
      <alignment horizontal="center" vertical="center"/>
    </xf>
    <xf numFmtId="0" fontId="12" fillId="0" borderId="3" xfId="25" applyFont="1" applyFill="1" applyBorder="1" applyAlignment="1">
      <alignment horizontal="center" vertical="center"/>
    </xf>
    <xf numFmtId="0" fontId="12" fillId="0" borderId="0" xfId="25" applyFont="1" applyFill="1" applyAlignment="1">
      <alignment horizontal="center" vertical="center"/>
    </xf>
    <xf numFmtId="0" fontId="12" fillId="0" borderId="2" xfId="25" applyFont="1" applyFill="1" applyBorder="1" applyAlignment="1">
      <alignment horizontal="center" vertical="center"/>
    </xf>
    <xf numFmtId="0" fontId="12" fillId="0" borderId="5" xfId="25" applyFont="1" applyFill="1" applyBorder="1" applyAlignment="1">
      <alignment horizontal="center" vertical="center"/>
    </xf>
    <xf numFmtId="0" fontId="12" fillId="0" borderId="35" xfId="25" applyFont="1" applyFill="1" applyBorder="1" applyAlignment="1">
      <alignment horizontal="center" vertical="center"/>
    </xf>
    <xf numFmtId="0" fontId="12" fillId="0" borderId="5" xfId="25" applyFont="1" applyFill="1" applyBorder="1" applyAlignment="1">
      <alignment horizontal="center" vertical="center" wrapText="1"/>
    </xf>
    <xf numFmtId="0" fontId="12" fillId="0" borderId="6" xfId="25" applyFont="1" applyFill="1" applyBorder="1" applyAlignment="1">
      <alignment horizontal="center" vertical="center" wrapText="1"/>
    </xf>
    <xf numFmtId="0" fontId="12" fillId="0" borderId="9" xfId="28" applyFont="1" applyBorder="1" applyAlignment="1">
      <alignment horizontal="center" vertical="center"/>
    </xf>
    <xf numFmtId="0" fontId="12" fillId="0" borderId="3" xfId="28" applyFont="1" applyBorder="1" applyAlignment="1">
      <alignment horizontal="center" vertical="center"/>
    </xf>
    <xf numFmtId="0" fontId="12" fillId="0" borderId="1" xfId="28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5" fontId="12" fillId="0" borderId="1" xfId="28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0" xfId="18" applyFont="1" applyAlignment="1">
      <alignment horizontal="center" vertical="center"/>
    </xf>
    <xf numFmtId="0" fontId="12" fillId="0" borderId="0" xfId="15" applyNumberFormat="1" applyFont="1" applyFill="1" applyAlignment="1">
      <alignment horizontal="center" vertical="center"/>
    </xf>
    <xf numFmtId="0" fontId="12" fillId="0" borderId="0" xfId="15" applyNumberFormat="1" applyFont="1" applyFill="1" applyBorder="1" applyAlignment="1">
      <alignment horizontal="center" vertical="center"/>
    </xf>
    <xf numFmtId="0" fontId="12" fillId="0" borderId="0" xfId="17" applyNumberFormat="1" applyFont="1" applyFill="1" applyAlignment="1">
      <alignment horizontal="center" vertical="center"/>
    </xf>
    <xf numFmtId="0" fontId="12" fillId="0" borderId="0" xfId="17" applyFont="1" applyFill="1" applyBorder="1" applyAlignment="1">
      <alignment horizontal="center" vertical="center"/>
    </xf>
    <xf numFmtId="0" fontId="12" fillId="0" borderId="0" xfId="17" applyFont="1" applyFill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37" fontId="12" fillId="0" borderId="38" xfId="0" applyNumberFormat="1" applyFont="1" applyBorder="1" applyAlignment="1" applyProtection="1">
      <alignment horizontal="center" vertical="center"/>
    </xf>
    <xf numFmtId="37" fontId="12" fillId="0" borderId="40" xfId="0" applyNumberFormat="1" applyFont="1" applyBorder="1" applyAlignment="1" applyProtection="1">
      <alignment horizontal="center" vertical="center"/>
    </xf>
    <xf numFmtId="0" fontId="12" fillId="0" borderId="21" xfId="11" applyFont="1" applyBorder="1" applyAlignment="1">
      <alignment horizontal="center" vertical="center"/>
    </xf>
    <xf numFmtId="0" fontId="12" fillId="0" borderId="24" xfId="11" applyFont="1" applyBorder="1" applyAlignment="1">
      <alignment horizontal="center" vertical="center"/>
    </xf>
    <xf numFmtId="0" fontId="12" fillId="0" borderId="0" xfId="11" applyFont="1" applyBorder="1" applyAlignment="1">
      <alignment horizontal="center" vertical="center"/>
    </xf>
    <xf numFmtId="37" fontId="12" fillId="0" borderId="21" xfId="11" applyNumberFormat="1" applyFont="1" applyBorder="1" applyAlignment="1" applyProtection="1">
      <alignment horizontal="center" vertical="center"/>
    </xf>
    <xf numFmtId="37" fontId="12" fillId="0" borderId="24" xfId="11" applyNumberFormat="1" applyFont="1" applyBorder="1" applyAlignment="1" applyProtection="1">
      <alignment horizontal="center" vertical="center"/>
    </xf>
    <xf numFmtId="0" fontId="12" fillId="0" borderId="9" xfId="21" applyFont="1" applyBorder="1" applyAlignment="1">
      <alignment horizontal="center" vertical="center"/>
    </xf>
    <xf numFmtId="0" fontId="12" fillId="0" borderId="3" xfId="21" applyFont="1" applyBorder="1" applyAlignment="1">
      <alignment horizontal="center" vertical="center"/>
    </xf>
    <xf numFmtId="0" fontId="12" fillId="0" borderId="0" xfId="21" applyFont="1" applyBorder="1" applyAlignment="1">
      <alignment horizontal="center" vertical="center"/>
    </xf>
    <xf numFmtId="37" fontId="12" fillId="0" borderId="37" xfId="11" applyNumberFormat="1" applyFont="1" applyBorder="1" applyAlignment="1" applyProtection="1">
      <alignment horizontal="center" vertical="center"/>
    </xf>
    <xf numFmtId="37" fontId="12" fillId="0" borderId="39" xfId="11" applyNumberFormat="1" applyFont="1" applyBorder="1" applyAlignment="1" applyProtection="1">
      <alignment horizontal="center" vertical="center"/>
    </xf>
    <xf numFmtId="0" fontId="12" fillId="0" borderId="0" xfId="17" applyNumberFormat="1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</cellXfs>
  <cellStyles count="30">
    <cellStyle name="Comma" xfId="1" builtinId="3"/>
    <cellStyle name="Comma 2" xfId="2"/>
    <cellStyle name="Comma 3" xfId="3"/>
    <cellStyle name="Comma 3 2" xfId="4"/>
    <cellStyle name="Comma 4" xfId="5"/>
    <cellStyle name="Comma 5" xfId="6"/>
    <cellStyle name="Comma 5 2" xfId="7"/>
    <cellStyle name="Comma 5 2 2" xfId="8"/>
    <cellStyle name="Comma 5 2 2 2" xfId="27"/>
    <cellStyle name="Comma 6" xfId="29"/>
    <cellStyle name="Comma_po2-3-update08" xfId="9"/>
    <cellStyle name="Comma_po2-6-update08 2" xfId="10"/>
    <cellStyle name="Normal" xfId="0" builtinId="0"/>
    <cellStyle name="Normal 2" xfId="11"/>
    <cellStyle name="Normal 2 2" xfId="12"/>
    <cellStyle name="Normal 3" xfId="13"/>
    <cellStyle name="Normal 3 2" xfId="14"/>
    <cellStyle name="Normal 4" xfId="15"/>
    <cellStyle name="Normal 5" xfId="16"/>
    <cellStyle name="Normal 5 2" xfId="17"/>
    <cellStyle name="Normal 6" xfId="18"/>
    <cellStyle name="Normal 7" xfId="19"/>
    <cellStyle name="Normal 8" xfId="28"/>
    <cellStyle name="Normal_Area Stats KPPK 2 2" xfId="20"/>
    <cellStyle name="Normal_po2-25" xfId="21"/>
    <cellStyle name="Normal_po2-3-update08" xfId="22"/>
    <cellStyle name="Normal_po2-4-update08 2" xfId="23"/>
    <cellStyle name="Normal_po2-5%20FFB%20Yield(1)" xfId="24"/>
    <cellStyle name="Normal_po2-6-update08" xfId="25"/>
    <cellStyle name="Normal_Sheet1" xfId="2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hamad%20Muslimat/AppData/Local/Temp/Temp1_ANNUAL%20DATABASE.zip/3%20-%20RUBBER%20-%202201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hamad%20Muslimat/AppData/Local/Temp/Temp1_ANNUAL%20DATABASE.zip/FORESTRY%20AND%20TIMBER_FDPM%20FD-SABAH%20FD-SARAWAK%202301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3-22"/>
      <sheetName val="3-23"/>
      <sheetName val="3-24"/>
      <sheetName val="3-25"/>
      <sheetName val="3-26"/>
      <sheetName val="3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6"/>
      <sheetName val="7.7"/>
      <sheetName val="7.8"/>
      <sheetName val="7.9"/>
      <sheetName val="7.10"/>
      <sheetName val="7.11"/>
      <sheetName val="7.12"/>
      <sheetName val="7.13"/>
    </sheetNames>
    <sheetDataSet>
      <sheetData sheetId="0"/>
      <sheetData sheetId="1"/>
      <sheetData sheetId="2">
        <row r="2">
          <cell r="A2" t="str">
            <v>TABLE 7-3</v>
          </cell>
        </row>
      </sheetData>
      <sheetData sheetId="3">
        <row r="1">
          <cell r="A1" t="str">
            <v>TABLE 7- 6</v>
          </cell>
        </row>
      </sheetData>
      <sheetData sheetId="4"/>
      <sheetData sheetId="5">
        <row r="2">
          <cell r="A2" t="str">
            <v>TABLE 7-8</v>
          </cell>
        </row>
      </sheetData>
      <sheetData sheetId="6"/>
      <sheetData sheetId="7"/>
      <sheetData sheetId="8">
        <row r="13">
          <cell r="BF13" t="str">
            <v>/wcs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57"/>
  <sheetViews>
    <sheetView tabSelected="1" view="pageBreakPreview" zoomScaleNormal="100" zoomScaleSheetLayoutView="100" workbookViewId="0">
      <selection activeCell="J23" sqref="J23"/>
    </sheetView>
  </sheetViews>
  <sheetFormatPr defaultColWidth="9.1640625" defaultRowHeight="17.25" customHeight="1"/>
  <cols>
    <col min="1" max="1" width="11.5" style="2" customWidth="1"/>
    <col min="2" max="2" width="17.6640625" style="2" customWidth="1"/>
    <col min="3" max="3" width="9.1640625" style="2" customWidth="1"/>
    <col min="4" max="4" width="17.6640625" style="2" customWidth="1"/>
    <col min="5" max="5" width="9.1640625" style="2" customWidth="1"/>
    <col min="6" max="6" width="17.6640625" style="2" customWidth="1"/>
    <col min="7" max="7" width="9.1640625" style="2" customWidth="1"/>
    <col min="8" max="8" width="17.6640625" style="2" customWidth="1"/>
    <col min="9" max="9" width="12.6640625" style="2" bestFit="1" customWidth="1"/>
    <col min="10" max="20" width="10.5" style="2" customWidth="1"/>
    <col min="21" max="21" width="9.1640625" style="2"/>
    <col min="22" max="22" width="10.6640625" style="2" customWidth="1"/>
    <col min="23" max="16384" width="9.1640625" style="2"/>
  </cols>
  <sheetData>
    <row r="1" spans="1:20" s="10" customFormat="1" ht="17.25" customHeight="1"/>
    <row r="2" spans="1:20" s="10" customFormat="1" ht="17.25" customHeight="1">
      <c r="A2" s="563" t="s">
        <v>100</v>
      </c>
      <c r="B2" s="563"/>
      <c r="C2" s="563"/>
      <c r="D2" s="563"/>
      <c r="E2" s="563"/>
      <c r="F2" s="563"/>
      <c r="G2" s="563"/>
      <c r="H2" s="563"/>
      <c r="I2" s="477"/>
      <c r="J2" s="477"/>
      <c r="K2" s="477"/>
    </row>
    <row r="3" spans="1:20" s="10" customFormat="1" ht="17.25" customHeight="1">
      <c r="A3" s="563" t="s">
        <v>126</v>
      </c>
      <c r="B3" s="563"/>
      <c r="C3" s="563"/>
      <c r="D3" s="563"/>
      <c r="E3" s="563"/>
      <c r="F3" s="563"/>
      <c r="G3" s="563"/>
      <c r="H3" s="563"/>
      <c r="I3" s="477"/>
      <c r="J3" s="477"/>
      <c r="K3" s="477"/>
    </row>
    <row r="4" spans="1:20" s="10" customFormat="1" ht="17.25" customHeight="1">
      <c r="A4" s="563" t="s">
        <v>101</v>
      </c>
      <c r="B4" s="563"/>
      <c r="C4" s="563"/>
      <c r="D4" s="563"/>
      <c r="E4" s="563"/>
      <c r="F4" s="563"/>
      <c r="G4" s="563"/>
      <c r="H4" s="563"/>
      <c r="I4" s="477"/>
      <c r="J4" s="11"/>
      <c r="K4" s="11"/>
    </row>
    <row r="5" spans="1:20" s="10" customFormat="1" ht="17.2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20" s="16" customFormat="1" ht="30">
      <c r="A6" s="13" t="s">
        <v>60</v>
      </c>
      <c r="B6" s="14" t="s">
        <v>239</v>
      </c>
      <c r="C6" s="14" t="s">
        <v>127</v>
      </c>
      <c r="D6" s="13" t="s">
        <v>82</v>
      </c>
      <c r="E6" s="14" t="s">
        <v>127</v>
      </c>
      <c r="F6" s="13" t="s">
        <v>85</v>
      </c>
      <c r="G6" s="14" t="s">
        <v>127</v>
      </c>
      <c r="H6" s="482" t="s">
        <v>0</v>
      </c>
      <c r="I6" s="478"/>
      <c r="J6" s="478"/>
      <c r="K6" s="478"/>
      <c r="L6" s="477"/>
      <c r="M6" s="477"/>
      <c r="N6" s="15"/>
      <c r="O6" s="15"/>
    </row>
    <row r="7" spans="1:20" s="10" customFormat="1" ht="17.25" hidden="1" customHeight="1">
      <c r="A7" s="17">
        <v>1990</v>
      </c>
      <c r="B7" s="18">
        <v>1698498</v>
      </c>
      <c r="C7" s="19">
        <f t="shared" ref="C7:C16" si="0">(B7/H7)*100</f>
        <v>83.691950189803805</v>
      </c>
      <c r="D7" s="18">
        <v>276171</v>
      </c>
      <c r="E7" s="19">
        <f t="shared" ref="E7:E16" si="1">(D7/H7)*100</f>
        <v>13.608075826917846</v>
      </c>
      <c r="F7" s="18">
        <v>54795</v>
      </c>
      <c r="G7" s="19">
        <f t="shared" ref="G7:G16" si="2">(F7/H7)*100</f>
        <v>2.6999739832783436</v>
      </c>
      <c r="H7" s="20">
        <f t="shared" ref="H7:H16" si="3">B7+D7+F7</f>
        <v>2029464</v>
      </c>
      <c r="I7" s="21"/>
      <c r="J7" s="22"/>
      <c r="K7" s="23"/>
      <c r="N7" s="24"/>
      <c r="O7" s="24"/>
      <c r="R7" s="25"/>
      <c r="S7" s="25"/>
      <c r="T7" s="25"/>
    </row>
    <row r="8" spans="1:20" s="10" customFormat="1" ht="17.25" hidden="1" customHeight="1">
      <c r="A8" s="17">
        <v>1991</v>
      </c>
      <c r="B8" s="18">
        <v>1744615</v>
      </c>
      <c r="C8" s="19">
        <f t="shared" si="0"/>
        <v>83.31383343489199</v>
      </c>
      <c r="D8" s="18">
        <v>289054</v>
      </c>
      <c r="E8" s="19">
        <f t="shared" si="1"/>
        <v>13.80373137321946</v>
      </c>
      <c r="F8" s="18">
        <v>60359</v>
      </c>
      <c r="G8" s="19">
        <f t="shared" si="2"/>
        <v>2.8824351918885518</v>
      </c>
      <c r="H8" s="20">
        <f t="shared" si="3"/>
        <v>2094028</v>
      </c>
      <c r="I8" s="26"/>
      <c r="J8" s="22"/>
      <c r="K8" s="27"/>
      <c r="N8" s="24"/>
      <c r="O8" s="24"/>
    </row>
    <row r="9" spans="1:20" s="10" customFormat="1" ht="17.25" hidden="1" customHeight="1">
      <c r="A9" s="17">
        <v>1992</v>
      </c>
      <c r="B9" s="18">
        <v>1775633</v>
      </c>
      <c r="C9" s="19">
        <f t="shared" si="0"/>
        <v>80.796529035428591</v>
      </c>
      <c r="D9" s="18">
        <v>344885</v>
      </c>
      <c r="E9" s="19">
        <f t="shared" si="1"/>
        <v>15.693282855400744</v>
      </c>
      <c r="F9" s="18">
        <v>77142</v>
      </c>
      <c r="G9" s="19">
        <f t="shared" si="2"/>
        <v>3.5101881091706635</v>
      </c>
      <c r="H9" s="20">
        <f t="shared" si="3"/>
        <v>2197660</v>
      </c>
      <c r="I9" s="26"/>
      <c r="J9" s="22"/>
      <c r="K9" s="27"/>
      <c r="R9" s="28"/>
    </row>
    <row r="10" spans="1:20" s="10" customFormat="1" ht="17.25" hidden="1" customHeight="1">
      <c r="A10" s="17">
        <v>1993</v>
      </c>
      <c r="B10" s="18">
        <v>1831776</v>
      </c>
      <c r="C10" s="19">
        <f t="shared" si="0"/>
        <v>79.437796112189247</v>
      </c>
      <c r="D10" s="18">
        <v>387122</v>
      </c>
      <c r="E10" s="19">
        <f t="shared" si="1"/>
        <v>16.788143586630095</v>
      </c>
      <c r="F10" s="18">
        <v>87027</v>
      </c>
      <c r="G10" s="19">
        <f t="shared" si="2"/>
        <v>3.7740603011806542</v>
      </c>
      <c r="H10" s="20">
        <f t="shared" si="3"/>
        <v>2305925</v>
      </c>
      <c r="I10" s="21"/>
      <c r="J10" s="22"/>
      <c r="K10" s="23"/>
      <c r="R10" s="28"/>
    </row>
    <row r="11" spans="1:20" s="10" customFormat="1" ht="17.25" hidden="1" customHeight="1">
      <c r="A11" s="17">
        <v>1994</v>
      </c>
      <c r="B11" s="18">
        <v>1857626</v>
      </c>
      <c r="C11" s="19">
        <f t="shared" si="0"/>
        <v>77.016035247112455</v>
      </c>
      <c r="D11" s="18">
        <v>452485</v>
      </c>
      <c r="E11" s="19">
        <f t="shared" si="1"/>
        <v>18.759750729581562</v>
      </c>
      <c r="F11" s="18">
        <v>101888</v>
      </c>
      <c r="G11" s="19">
        <f t="shared" si="2"/>
        <v>4.2242140233059802</v>
      </c>
      <c r="H11" s="20">
        <f t="shared" si="3"/>
        <v>2411999</v>
      </c>
      <c r="I11" s="21"/>
      <c r="J11" s="22"/>
      <c r="K11" s="23"/>
      <c r="R11" s="28"/>
    </row>
    <row r="12" spans="1:20" s="10" customFormat="1" ht="17.25" hidden="1" customHeight="1">
      <c r="A12" s="17">
        <v>1995</v>
      </c>
      <c r="B12" s="18">
        <v>1903171</v>
      </c>
      <c r="C12" s="19">
        <f t="shared" si="0"/>
        <v>74.925425782660199</v>
      </c>
      <c r="D12" s="18">
        <v>518133</v>
      </c>
      <c r="E12" s="19">
        <f t="shared" si="1"/>
        <v>20.398238328057268</v>
      </c>
      <c r="F12" s="18">
        <v>118783</v>
      </c>
      <c r="G12" s="19">
        <f t="shared" si="2"/>
        <v>4.6763358892825329</v>
      </c>
      <c r="H12" s="20">
        <f t="shared" si="3"/>
        <v>2540087</v>
      </c>
      <c r="I12" s="21"/>
      <c r="J12" s="22"/>
      <c r="K12" s="23"/>
    </row>
    <row r="13" spans="1:20" s="10" customFormat="1" ht="17.25" hidden="1" customHeight="1">
      <c r="A13" s="17">
        <v>1996</v>
      </c>
      <c r="B13" s="18">
        <v>1926378</v>
      </c>
      <c r="C13" s="19">
        <f t="shared" si="0"/>
        <v>71.551759359889701</v>
      </c>
      <c r="D13" s="18">
        <v>626008</v>
      </c>
      <c r="E13" s="19">
        <f t="shared" si="1"/>
        <v>23.251913058270926</v>
      </c>
      <c r="F13" s="18">
        <v>139900</v>
      </c>
      <c r="G13" s="19">
        <f t="shared" si="2"/>
        <v>5.1963275818393742</v>
      </c>
      <c r="H13" s="20">
        <f t="shared" si="3"/>
        <v>2692286</v>
      </c>
      <c r="I13" s="21"/>
      <c r="J13" s="22"/>
      <c r="K13" s="23"/>
      <c r="Q13" s="29"/>
    </row>
    <row r="14" spans="1:20" s="10" customFormat="1" ht="17.25" hidden="1" customHeight="1">
      <c r="A14" s="17">
        <v>1997</v>
      </c>
      <c r="B14" s="18">
        <v>1956573</v>
      </c>
      <c r="C14" s="19">
        <f t="shared" si="0"/>
        <v>69.398854190165267</v>
      </c>
      <c r="D14" s="18">
        <v>715736</v>
      </c>
      <c r="E14" s="19">
        <f t="shared" si="1"/>
        <v>25.386866885443137</v>
      </c>
      <c r="F14" s="18">
        <v>147007</v>
      </c>
      <c r="G14" s="19">
        <f t="shared" si="2"/>
        <v>5.2142789243915901</v>
      </c>
      <c r="H14" s="20">
        <f t="shared" si="3"/>
        <v>2819316</v>
      </c>
      <c r="I14" s="21"/>
      <c r="J14" s="22"/>
      <c r="K14" s="23"/>
    </row>
    <row r="15" spans="1:20" s="10" customFormat="1" ht="17.25" hidden="1" customHeight="1">
      <c r="A15" s="17">
        <v>1998</v>
      </c>
      <c r="B15" s="18">
        <v>1987190</v>
      </c>
      <c r="C15" s="19">
        <f t="shared" si="0"/>
        <v>64.558645613095806</v>
      </c>
      <c r="D15" s="18">
        <v>842496</v>
      </c>
      <c r="E15" s="19">
        <f t="shared" si="1"/>
        <v>27.370508453872432</v>
      </c>
      <c r="F15" s="18">
        <v>248430</v>
      </c>
      <c r="G15" s="19">
        <f t="shared" si="2"/>
        <v>8.0708459330317623</v>
      </c>
      <c r="H15" s="20">
        <f t="shared" si="3"/>
        <v>3078116</v>
      </c>
      <c r="I15" s="21"/>
      <c r="J15" s="22"/>
      <c r="K15" s="23"/>
      <c r="S15" s="30"/>
      <c r="T15" s="30"/>
    </row>
    <row r="16" spans="1:20" s="10" customFormat="1" ht="17.25" hidden="1" customHeight="1">
      <c r="A16" s="17">
        <v>1999</v>
      </c>
      <c r="B16" s="18">
        <v>2051595</v>
      </c>
      <c r="C16" s="19">
        <f t="shared" si="0"/>
        <v>61.918251170326009</v>
      </c>
      <c r="D16" s="18">
        <v>941322</v>
      </c>
      <c r="E16" s="19">
        <f t="shared" si="1"/>
        <v>28.409609122733105</v>
      </c>
      <c r="F16" s="18">
        <v>320476</v>
      </c>
      <c r="G16" s="19">
        <f t="shared" si="2"/>
        <v>9.6721397069408912</v>
      </c>
      <c r="H16" s="20">
        <f t="shared" si="3"/>
        <v>3313393</v>
      </c>
      <c r="I16" s="21"/>
      <c r="J16" s="22"/>
      <c r="K16" s="23"/>
      <c r="S16" s="30"/>
      <c r="T16" s="12"/>
    </row>
    <row r="17" spans="1:22" s="10" customFormat="1" ht="17.25" customHeight="1">
      <c r="A17" s="17">
        <v>2000</v>
      </c>
      <c r="B17" s="18">
        <v>2045500</v>
      </c>
      <c r="C17" s="19">
        <v>60.577540436359676</v>
      </c>
      <c r="D17" s="18">
        <v>1000777</v>
      </c>
      <c r="E17" s="19">
        <v>29.638039200820693</v>
      </c>
      <c r="F17" s="18">
        <v>330387</v>
      </c>
      <c r="G17" s="19">
        <v>9.7844203628196347</v>
      </c>
      <c r="H17" s="20">
        <v>3376664</v>
      </c>
      <c r="I17" s="26"/>
      <c r="J17" s="22"/>
      <c r="K17" s="23"/>
    </row>
    <row r="18" spans="1:22" s="10" customFormat="1" ht="17.25" customHeight="1">
      <c r="A18" s="17">
        <v>2001</v>
      </c>
      <c r="B18" s="18">
        <v>2096854</v>
      </c>
      <c r="C18" s="19">
        <v>59.927065084123797</v>
      </c>
      <c r="D18" s="18">
        <v>1027329</v>
      </c>
      <c r="E18" s="19">
        <v>29.360561987533618</v>
      </c>
      <c r="F18" s="18">
        <v>374827</v>
      </c>
      <c r="G18" s="19">
        <v>10.712372928342589</v>
      </c>
      <c r="H18" s="20">
        <v>3499010</v>
      </c>
      <c r="I18" s="21"/>
      <c r="J18" s="22"/>
      <c r="K18" s="23"/>
    </row>
    <row r="19" spans="1:22" s="10" customFormat="1" ht="17.25" customHeight="1">
      <c r="A19" s="31">
        <v>2002</v>
      </c>
      <c r="B19" s="18">
        <v>2187010</v>
      </c>
      <c r="C19" s="19">
        <v>59.587607687011456</v>
      </c>
      <c r="D19" s="18">
        <v>1068973</v>
      </c>
      <c r="E19" s="19">
        <v>29.125401233651289</v>
      </c>
      <c r="F19" s="18">
        <v>414260</v>
      </c>
      <c r="G19" s="19">
        <v>11.286991079337254</v>
      </c>
      <c r="H19" s="20">
        <v>3670243</v>
      </c>
      <c r="I19" s="21"/>
      <c r="J19" s="22"/>
      <c r="K19" s="23"/>
    </row>
    <row r="20" spans="1:22" s="10" customFormat="1" ht="17.25" customHeight="1">
      <c r="A20" s="31">
        <v>2003</v>
      </c>
      <c r="B20" s="18">
        <v>2202166</v>
      </c>
      <c r="C20" s="19">
        <v>57.920642602392405</v>
      </c>
      <c r="D20" s="18">
        <v>1135100</v>
      </c>
      <c r="E20" s="19">
        <v>29.855025196999506</v>
      </c>
      <c r="F20" s="18">
        <v>464774</v>
      </c>
      <c r="G20" s="19">
        <v>12.224332200608094</v>
      </c>
      <c r="H20" s="20">
        <v>3802040</v>
      </c>
      <c r="I20" s="21"/>
      <c r="J20" s="22"/>
      <c r="K20" s="23"/>
    </row>
    <row r="21" spans="1:22" s="10" customFormat="1" ht="17.25" customHeight="1">
      <c r="A21" s="31">
        <v>2004</v>
      </c>
      <c r="B21" s="18">
        <v>2201606</v>
      </c>
      <c r="C21" s="19">
        <v>56.810844607435705</v>
      </c>
      <c r="D21" s="18">
        <v>1165412</v>
      </c>
      <c r="E21" s="19">
        <v>30.072610646791869</v>
      </c>
      <c r="F21" s="18">
        <v>508309</v>
      </c>
      <c r="G21" s="19">
        <v>13.116544745772421</v>
      </c>
      <c r="H21" s="20">
        <v>3875327</v>
      </c>
      <c r="I21" s="21"/>
      <c r="J21" s="22"/>
      <c r="K21" s="23"/>
    </row>
    <row r="22" spans="1:22" s="10" customFormat="1" ht="17.25" customHeight="1">
      <c r="A22" s="31">
        <v>2005</v>
      </c>
      <c r="B22" s="18">
        <v>2298608</v>
      </c>
      <c r="C22" s="19">
        <v>56.736504701861648</v>
      </c>
      <c r="D22" s="18">
        <v>1209368</v>
      </c>
      <c r="E22" s="19">
        <v>29.850811107540302</v>
      </c>
      <c r="F22" s="18">
        <v>543398</v>
      </c>
      <c r="G22" s="19">
        <v>13.412684190598053</v>
      </c>
      <c r="H22" s="20">
        <v>4051374</v>
      </c>
      <c r="I22" s="21"/>
      <c r="J22" s="22"/>
      <c r="K22" s="23"/>
    </row>
    <row r="23" spans="1:22" s="10" customFormat="1" ht="17.25" customHeight="1">
      <c r="A23" s="31">
        <v>2006</v>
      </c>
      <c r="B23" s="18">
        <v>2334247</v>
      </c>
      <c r="C23" s="19">
        <v>56.041452842170216</v>
      </c>
      <c r="D23" s="18">
        <v>1239497</v>
      </c>
      <c r="E23" s="19">
        <v>29.758295790253324</v>
      </c>
      <c r="F23" s="18">
        <v>591471</v>
      </c>
      <c r="G23" s="19">
        <v>14.200251367576463</v>
      </c>
      <c r="H23" s="20">
        <v>4165215</v>
      </c>
      <c r="I23" s="21"/>
      <c r="J23" s="22"/>
      <c r="K23" s="23"/>
    </row>
    <row r="24" spans="1:22" s="10" customFormat="1" ht="17.25" customHeight="1">
      <c r="A24" s="31">
        <v>2007</v>
      </c>
      <c r="B24" s="18">
        <v>2362057</v>
      </c>
      <c r="C24" s="19">
        <v>54.868867268630048</v>
      </c>
      <c r="D24" s="18">
        <v>1278244</v>
      </c>
      <c r="E24" s="19">
        <v>29.692679039042137</v>
      </c>
      <c r="F24" s="18">
        <v>664612</v>
      </c>
      <c r="G24" s="19">
        <v>15.438453692327814</v>
      </c>
      <c r="H24" s="20">
        <v>4304913</v>
      </c>
      <c r="I24" s="21"/>
      <c r="J24" s="22"/>
      <c r="K24" s="23"/>
    </row>
    <row r="25" spans="1:22" s="10" customFormat="1" ht="17.25" customHeight="1">
      <c r="A25" s="31">
        <v>2008</v>
      </c>
      <c r="B25" s="18">
        <v>2410019</v>
      </c>
      <c r="C25" s="19">
        <v>53.699690081700865</v>
      </c>
      <c r="D25" s="18">
        <v>1333566</v>
      </c>
      <c r="E25" s="19">
        <v>29.714322129200436</v>
      </c>
      <c r="F25" s="18">
        <v>744372</v>
      </c>
      <c r="G25" s="19">
        <v>16.585987789098692</v>
      </c>
      <c r="H25" s="20">
        <v>4487957</v>
      </c>
      <c r="I25" s="21"/>
      <c r="J25" s="22"/>
      <c r="K25" s="23"/>
      <c r="Q25" s="29"/>
      <c r="R25" s="32"/>
      <c r="S25" s="478"/>
      <c r="T25" s="478"/>
      <c r="U25" s="29"/>
      <c r="V25" s="29"/>
    </row>
    <row r="26" spans="1:22" s="10" customFormat="1" ht="17.25" customHeight="1">
      <c r="A26" s="17">
        <v>2009</v>
      </c>
      <c r="B26" s="18">
        <v>2489814</v>
      </c>
      <c r="C26" s="19">
        <v>53.074591359066837</v>
      </c>
      <c r="D26" s="18">
        <v>1361598</v>
      </c>
      <c r="E26" s="19">
        <v>29.024761466247156</v>
      </c>
      <c r="F26" s="18">
        <v>839748</v>
      </c>
      <c r="G26" s="19">
        <v>17.900647174686004</v>
      </c>
      <c r="H26" s="20">
        <v>4691160</v>
      </c>
      <c r="I26" s="21"/>
      <c r="J26" s="22"/>
      <c r="K26" s="23"/>
      <c r="Q26" s="29"/>
      <c r="R26" s="32"/>
      <c r="S26" s="478"/>
      <c r="T26" s="478"/>
      <c r="U26" s="29"/>
      <c r="V26" s="29"/>
    </row>
    <row r="27" spans="1:22" s="10" customFormat="1" ht="17.25" customHeight="1">
      <c r="A27" s="17">
        <v>2010</v>
      </c>
      <c r="B27" s="18">
        <v>2524672</v>
      </c>
      <c r="C27" s="19">
        <v>52.014703634250189</v>
      </c>
      <c r="D27" s="18">
        <v>1409676</v>
      </c>
      <c r="E27" s="19">
        <v>29.042932848431509</v>
      </c>
      <c r="F27" s="18">
        <v>919418</v>
      </c>
      <c r="G27" s="19">
        <v>18.942363517318306</v>
      </c>
      <c r="H27" s="20">
        <v>4853766</v>
      </c>
      <c r="I27" s="21"/>
      <c r="J27" s="22"/>
      <c r="K27" s="23"/>
      <c r="Q27" s="29"/>
      <c r="R27" s="32"/>
      <c r="S27" s="478"/>
      <c r="T27" s="478"/>
      <c r="U27" s="29"/>
      <c r="V27" s="29"/>
    </row>
    <row r="28" spans="1:22" s="10" customFormat="1" ht="17.25" customHeight="1">
      <c r="A28" s="17">
        <v>2011</v>
      </c>
      <c r="B28" s="18">
        <v>2546760</v>
      </c>
      <c r="C28" s="19">
        <v>50.934089636845911</v>
      </c>
      <c r="D28" s="18">
        <v>1431762</v>
      </c>
      <c r="E28" s="19">
        <v>28.634615765376314</v>
      </c>
      <c r="F28" s="18">
        <v>1021587</v>
      </c>
      <c r="G28" s="19">
        <v>20.431294597777768</v>
      </c>
      <c r="H28" s="20">
        <v>5000109</v>
      </c>
      <c r="I28" s="21"/>
      <c r="J28" s="22"/>
      <c r="K28" s="23"/>
      <c r="Q28" s="29"/>
      <c r="R28" s="32"/>
      <c r="S28" s="478"/>
      <c r="T28" s="478"/>
      <c r="U28" s="29"/>
      <c r="V28" s="29"/>
    </row>
    <row r="29" spans="1:22" s="10" customFormat="1" ht="17.25" customHeight="1">
      <c r="A29" s="17">
        <v>2012</v>
      </c>
      <c r="B29" s="18">
        <v>2558102.83</v>
      </c>
      <c r="C29" s="19">
        <v>50.386814444898278</v>
      </c>
      <c r="D29" s="18">
        <v>1442588.12</v>
      </c>
      <c r="E29" s="19">
        <v>28.414580942727252</v>
      </c>
      <c r="F29" s="18">
        <v>1076238.1200000001</v>
      </c>
      <c r="G29" s="19">
        <v>21.198604612374467</v>
      </c>
      <c r="H29" s="20">
        <v>5076929.07</v>
      </c>
      <c r="I29" s="21"/>
      <c r="J29" s="22"/>
      <c r="K29" s="23"/>
      <c r="Q29" s="29"/>
      <c r="R29" s="32"/>
      <c r="S29" s="478"/>
      <c r="T29" s="478"/>
      <c r="U29" s="29"/>
      <c r="V29" s="29"/>
    </row>
    <row r="30" spans="1:22" s="10" customFormat="1" ht="17.25" customHeight="1">
      <c r="A30" s="17">
        <v>2013</v>
      </c>
      <c r="B30" s="18">
        <v>2593733</v>
      </c>
      <c r="C30" s="19">
        <v>49.595840251301262</v>
      </c>
      <c r="D30" s="18">
        <v>1475108</v>
      </c>
      <c r="E30" s="19">
        <v>28.2061494847066</v>
      </c>
      <c r="F30" s="18">
        <v>1160898</v>
      </c>
      <c r="G30" s="19">
        <v>22.198010263992142</v>
      </c>
      <c r="H30" s="20">
        <v>5229739</v>
      </c>
      <c r="I30" s="21"/>
      <c r="J30" s="22"/>
      <c r="K30" s="23"/>
      <c r="Q30" s="29"/>
      <c r="R30" s="32"/>
      <c r="S30" s="478"/>
      <c r="T30" s="478"/>
      <c r="U30" s="29"/>
      <c r="V30" s="29"/>
    </row>
    <row r="31" spans="1:22" s="10" customFormat="1" ht="17.25" customHeight="1">
      <c r="A31" s="17">
        <v>2014</v>
      </c>
      <c r="B31" s="18">
        <v>2617334</v>
      </c>
      <c r="C31" s="19">
        <v>48.53894535382824</v>
      </c>
      <c r="D31" s="18">
        <v>1511510</v>
      </c>
      <c r="E31" s="19">
        <v>28.031233801939269</v>
      </c>
      <c r="F31" s="18">
        <v>1263391</v>
      </c>
      <c r="G31" s="19">
        <v>23.429820844232495</v>
      </c>
      <c r="H31" s="20">
        <v>5392235</v>
      </c>
      <c r="I31" s="21"/>
      <c r="J31" s="22"/>
      <c r="K31" s="23"/>
      <c r="Q31" s="29"/>
      <c r="R31" s="32"/>
      <c r="S31" s="478"/>
      <c r="T31" s="478"/>
      <c r="U31" s="29"/>
      <c r="V31" s="29"/>
    </row>
    <row r="32" spans="1:22" s="10" customFormat="1" ht="17.25" customHeight="1">
      <c r="A32" s="17">
        <v>2015</v>
      </c>
      <c r="B32" s="18">
        <v>2659361</v>
      </c>
      <c r="C32" s="19">
        <v>47.127199406409034</v>
      </c>
      <c r="D32" s="18">
        <v>1544223</v>
      </c>
      <c r="E32" s="19">
        <v>27.365560842985655</v>
      </c>
      <c r="F32" s="18">
        <v>1439359</v>
      </c>
      <c r="G32" s="19">
        <v>25.507239750605315</v>
      </c>
      <c r="H32" s="20">
        <v>5642943</v>
      </c>
      <c r="I32" s="21"/>
      <c r="J32" s="22"/>
      <c r="K32" s="23"/>
      <c r="Q32" s="29"/>
      <c r="R32" s="32"/>
      <c r="S32" s="478"/>
      <c r="T32" s="478"/>
      <c r="U32" s="29"/>
      <c r="V32" s="29"/>
    </row>
    <row r="33" spans="1:22" s="10" customFormat="1" ht="17.25" customHeight="1">
      <c r="A33" s="17">
        <v>2016</v>
      </c>
      <c r="B33" s="18">
        <v>2679502</v>
      </c>
      <c r="C33" s="19">
        <v>46.69761248940177</v>
      </c>
      <c r="D33" s="18">
        <v>1551714</v>
      </c>
      <c r="E33" s="19">
        <v>27.042838208883431</v>
      </c>
      <c r="F33" s="18">
        <v>1506769</v>
      </c>
      <c r="G33" s="19">
        <v>26.259549301714802</v>
      </c>
      <c r="H33" s="20">
        <v>5737985</v>
      </c>
      <c r="I33" s="21"/>
      <c r="J33" s="22"/>
      <c r="K33" s="23"/>
      <c r="Q33" s="29"/>
      <c r="R33" s="32"/>
      <c r="S33" s="478"/>
      <c r="T33" s="478"/>
      <c r="U33" s="29"/>
      <c r="V33" s="29"/>
    </row>
    <row r="34" spans="1:22" s="10" customFormat="1" ht="17.25" customHeight="1">
      <c r="A34" s="17">
        <v>2017</v>
      </c>
      <c r="B34" s="18">
        <v>2708413</v>
      </c>
      <c r="C34" s="19">
        <v>46.60721768257374</v>
      </c>
      <c r="D34" s="18">
        <v>1546904</v>
      </c>
      <c r="E34" s="19">
        <v>26.619607667679951</v>
      </c>
      <c r="F34" s="18">
        <v>1555828</v>
      </c>
      <c r="G34" s="19">
        <v>26.773174649746306</v>
      </c>
      <c r="H34" s="20">
        <v>5811145</v>
      </c>
      <c r="I34" s="21"/>
      <c r="J34" s="22"/>
      <c r="K34" s="23"/>
      <c r="Q34" s="29"/>
      <c r="R34" s="32"/>
      <c r="S34" s="478"/>
      <c r="T34" s="478"/>
      <c r="U34" s="29"/>
      <c r="V34" s="29"/>
    </row>
    <row r="35" spans="1:22" s="10" customFormat="1" ht="17.25" customHeight="1">
      <c r="A35" s="17">
        <v>2018</v>
      </c>
      <c r="B35" s="18">
        <v>2727608</v>
      </c>
      <c r="C35" s="19">
        <v>46.631118435786661</v>
      </c>
      <c r="D35" s="18">
        <v>1549245</v>
      </c>
      <c r="E35" s="19">
        <v>26.485853935407988</v>
      </c>
      <c r="F35" s="18">
        <v>1572477</v>
      </c>
      <c r="G35" s="19">
        <v>26.883027628805351</v>
      </c>
      <c r="H35" s="20">
        <v>5849330</v>
      </c>
      <c r="I35" s="21"/>
      <c r="J35" s="22"/>
      <c r="K35" s="23"/>
      <c r="Q35" s="29"/>
      <c r="R35" s="32"/>
      <c r="S35" s="478"/>
      <c r="T35" s="478"/>
      <c r="U35" s="29"/>
      <c r="V35" s="29"/>
    </row>
    <row r="36" spans="1:22" s="10" customFormat="1" ht="17.25" customHeight="1">
      <c r="A36" s="17">
        <v>2019</v>
      </c>
      <c r="B36" s="18">
        <v>2769003</v>
      </c>
      <c r="C36" s="19">
        <v>46.93100539528016</v>
      </c>
      <c r="D36" s="18">
        <v>1544481</v>
      </c>
      <c r="E36" s="19">
        <v>26.176947494787001</v>
      </c>
      <c r="F36" s="18">
        <v>1586673</v>
      </c>
      <c r="G36" s="19">
        <v>26.892047109932836</v>
      </c>
      <c r="H36" s="20">
        <v>5900157</v>
      </c>
      <c r="I36" s="21"/>
      <c r="J36" s="22"/>
      <c r="K36" s="23"/>
      <c r="Q36" s="29"/>
      <c r="R36" s="32"/>
      <c r="S36" s="478"/>
      <c r="T36" s="478"/>
      <c r="U36" s="29"/>
      <c r="V36" s="29"/>
    </row>
    <row r="37" spans="1:22" s="10" customFormat="1" ht="17.25" customHeight="1">
      <c r="A37" s="329">
        <v>2020</v>
      </c>
      <c r="B37" s="330">
        <v>2737723</v>
      </c>
      <c r="C37" s="33">
        <v>46.676630356484935</v>
      </c>
      <c r="D37" s="330">
        <v>1543054</v>
      </c>
      <c r="E37" s="33">
        <v>26.308198885751228</v>
      </c>
      <c r="F37" s="330">
        <v>1584520</v>
      </c>
      <c r="G37" s="33">
        <v>27.015170757763844</v>
      </c>
      <c r="H37" s="34">
        <v>5865297</v>
      </c>
      <c r="I37" s="21"/>
      <c r="J37" s="22"/>
      <c r="K37" s="23"/>
      <c r="Q37" s="29"/>
      <c r="R37" s="32"/>
      <c r="S37" s="478"/>
      <c r="T37" s="478"/>
      <c r="U37" s="29"/>
      <c r="V37" s="29"/>
    </row>
    <row r="38" spans="1:22" s="10" customFormat="1" ht="17.25" customHeight="1">
      <c r="A38" s="38" t="s">
        <v>240</v>
      </c>
      <c r="B38" s="29"/>
      <c r="C38" s="29"/>
      <c r="D38" s="27"/>
      <c r="E38" s="35"/>
      <c r="F38" s="36"/>
      <c r="G38" s="21"/>
      <c r="I38" s="21"/>
      <c r="J38" s="36"/>
      <c r="K38" s="21"/>
      <c r="Q38" s="29"/>
      <c r="R38" s="27"/>
      <c r="S38" s="26"/>
      <c r="T38" s="26"/>
      <c r="U38" s="29"/>
      <c r="V38" s="29"/>
    </row>
    <row r="39" spans="1:22" ht="17.25" customHeight="1">
      <c r="L39" s="6"/>
      <c r="M39" s="5"/>
      <c r="N39" s="347"/>
      <c r="O39" s="1"/>
      <c r="P39" s="347"/>
      <c r="R39" s="4"/>
      <c r="S39" s="4"/>
      <c r="T39" s="1"/>
      <c r="U39" s="4"/>
    </row>
    <row r="40" spans="1:22" ht="17.25" customHeight="1">
      <c r="A40" s="348"/>
      <c r="B40" s="348"/>
      <c r="C40" s="348"/>
      <c r="D40" s="348"/>
      <c r="E40" s="348"/>
      <c r="F40" s="348"/>
      <c r="G40" s="348"/>
      <c r="H40" s="349"/>
      <c r="I40" s="349"/>
      <c r="J40" s="3"/>
      <c r="K40" s="349"/>
    </row>
    <row r="41" spans="1:22" ht="17.25" customHeight="1">
      <c r="A41" s="348"/>
      <c r="B41" s="348"/>
      <c r="C41" s="348"/>
      <c r="D41" s="350"/>
      <c r="E41" s="347"/>
      <c r="F41" s="351"/>
      <c r="G41" s="351"/>
      <c r="H41" s="352"/>
      <c r="I41" s="349"/>
      <c r="J41" s="351"/>
      <c r="K41" s="349"/>
    </row>
    <row r="42" spans="1:22" ht="17.25" customHeight="1">
      <c r="A42" s="348"/>
      <c r="B42" s="348"/>
      <c r="C42" s="348"/>
      <c r="D42" s="348"/>
      <c r="E42" s="348"/>
      <c r="F42" s="353"/>
      <c r="G42" s="348"/>
      <c r="H42" s="348"/>
      <c r="I42" s="348"/>
      <c r="J42" s="353"/>
      <c r="K42" s="348"/>
    </row>
    <row r="43" spans="1:22" ht="17.25" customHeight="1">
      <c r="A43" s="348"/>
      <c r="B43" s="348"/>
      <c r="C43" s="348"/>
      <c r="D43" s="348"/>
      <c r="E43" s="348"/>
      <c r="F43" s="348"/>
      <c r="G43" s="348"/>
      <c r="H43" s="348"/>
      <c r="I43" s="348"/>
      <c r="J43" s="348"/>
      <c r="K43" s="348"/>
    </row>
    <row r="44" spans="1:22" ht="17.25" customHeight="1">
      <c r="A44" s="348"/>
      <c r="B44" s="348"/>
      <c r="C44" s="348"/>
      <c r="D44" s="348"/>
      <c r="E44" s="348"/>
      <c r="F44" s="348"/>
      <c r="G44" s="348"/>
      <c r="H44" s="348"/>
      <c r="I44" s="348"/>
      <c r="J44" s="348"/>
      <c r="K44" s="348"/>
    </row>
    <row r="45" spans="1:22" ht="17.25" customHeight="1">
      <c r="A45" s="348"/>
      <c r="B45" s="348"/>
      <c r="C45" s="348"/>
      <c r="D45" s="348"/>
      <c r="E45" s="348"/>
      <c r="F45" s="348"/>
      <c r="G45" s="348"/>
      <c r="H45" s="348"/>
      <c r="I45" s="348"/>
      <c r="J45" s="348"/>
      <c r="K45" s="348"/>
    </row>
    <row r="46" spans="1:22" ht="17.25" customHeight="1">
      <c r="A46" s="348"/>
      <c r="B46" s="348"/>
      <c r="C46" s="348"/>
      <c r="D46" s="348"/>
      <c r="E46" s="348"/>
      <c r="F46" s="348"/>
      <c r="G46" s="348"/>
      <c r="H46" s="348"/>
      <c r="I46" s="348"/>
      <c r="J46" s="348"/>
      <c r="K46" s="348"/>
    </row>
    <row r="47" spans="1:22" ht="17.25" customHeight="1">
      <c r="A47" s="348"/>
      <c r="B47" s="348"/>
      <c r="C47" s="348"/>
      <c r="D47" s="348"/>
      <c r="E47" s="348"/>
      <c r="F47" s="348"/>
      <c r="G47" s="348"/>
      <c r="H47" s="348"/>
      <c r="I47" s="348"/>
      <c r="J47" s="348"/>
      <c r="K47" s="348"/>
    </row>
    <row r="48" spans="1:22" ht="17.25" customHeight="1">
      <c r="A48" s="348"/>
      <c r="B48" s="348"/>
      <c r="C48" s="348"/>
      <c r="D48" s="348"/>
      <c r="E48" s="348"/>
      <c r="F48" s="348"/>
      <c r="G48" s="348"/>
      <c r="H48" s="348"/>
      <c r="I48" s="348"/>
      <c r="J48" s="348"/>
      <c r="K48" s="348"/>
    </row>
    <row r="49" spans="1:11" ht="17.25" customHeight="1">
      <c r="A49" s="348"/>
      <c r="B49" s="348"/>
      <c r="C49" s="348"/>
      <c r="D49" s="348"/>
      <c r="E49" s="348"/>
      <c r="F49" s="348"/>
      <c r="G49" s="348"/>
      <c r="H49" s="348"/>
      <c r="I49" s="348"/>
      <c r="J49" s="348"/>
      <c r="K49" s="348"/>
    </row>
    <row r="50" spans="1:11" ht="17.25" customHeight="1">
      <c r="A50" s="348"/>
      <c r="B50" s="348"/>
      <c r="C50" s="348"/>
      <c r="D50" s="348"/>
      <c r="E50" s="348"/>
      <c r="F50" s="348"/>
      <c r="G50" s="348"/>
      <c r="H50" s="348"/>
      <c r="I50" s="348"/>
      <c r="J50" s="348"/>
      <c r="K50" s="348"/>
    </row>
    <row r="51" spans="1:11" ht="17.25" customHeight="1">
      <c r="A51" s="348"/>
      <c r="B51" s="348"/>
      <c r="C51" s="348"/>
      <c r="D51" s="348"/>
      <c r="E51" s="348"/>
      <c r="F51" s="348"/>
      <c r="G51" s="348"/>
      <c r="H51" s="348"/>
      <c r="I51" s="348"/>
      <c r="J51" s="348"/>
      <c r="K51" s="348"/>
    </row>
    <row r="52" spans="1:11" ht="17.25" customHeight="1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</row>
    <row r="53" spans="1:11" ht="17.25" customHeight="1">
      <c r="A53" s="354"/>
      <c r="B53" s="354"/>
      <c r="C53" s="354"/>
      <c r="D53" s="354"/>
      <c r="E53" s="354"/>
      <c r="F53" s="354"/>
      <c r="G53" s="354"/>
      <c r="H53" s="354"/>
      <c r="I53" s="354"/>
      <c r="K53" s="354"/>
    </row>
    <row r="54" spans="1:11" ht="17.25" customHeight="1">
      <c r="A54" s="348"/>
      <c r="B54" s="348"/>
      <c r="C54" s="348"/>
      <c r="D54" s="348"/>
      <c r="E54" s="348"/>
      <c r="F54" s="348"/>
      <c r="G54" s="348"/>
      <c r="H54" s="348"/>
      <c r="I54" s="348"/>
      <c r="J54" s="348"/>
      <c r="K54" s="348"/>
    </row>
    <row r="55" spans="1:11" ht="17.25" customHeight="1">
      <c r="A55" s="348"/>
      <c r="B55" s="348"/>
      <c r="C55" s="348"/>
      <c r="D55" s="348"/>
      <c r="E55" s="348"/>
      <c r="F55" s="348"/>
      <c r="G55" s="348"/>
      <c r="H55" s="348"/>
      <c r="I55" s="348"/>
      <c r="J55" s="348"/>
      <c r="K55" s="348"/>
    </row>
    <row r="56" spans="1:11" ht="17.25" customHeight="1">
      <c r="A56" s="348"/>
      <c r="B56" s="348"/>
      <c r="C56" s="348"/>
      <c r="D56" s="348"/>
      <c r="E56" s="348"/>
      <c r="F56" s="348"/>
      <c r="G56" s="348"/>
      <c r="H56" s="348"/>
      <c r="I56" s="348"/>
      <c r="J56" s="9"/>
      <c r="K56" s="348"/>
    </row>
    <row r="57" spans="1:11" ht="17.25" customHeight="1">
      <c r="A57" s="348"/>
      <c r="B57" s="348"/>
      <c r="C57" s="348"/>
      <c r="D57" s="348"/>
      <c r="E57" s="348"/>
      <c r="F57" s="348"/>
      <c r="G57" s="348"/>
      <c r="H57" s="348"/>
      <c r="I57" s="348"/>
      <c r="J57" s="348"/>
      <c r="K57" s="348"/>
    </row>
  </sheetData>
  <mergeCells count="3">
    <mergeCell ref="A2:H2"/>
    <mergeCell ref="A3:H3"/>
    <mergeCell ref="A4:H4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4" width="17.6640625" style="337" customWidth="1"/>
    <col min="5" max="16384" width="9.1640625" style="372"/>
  </cols>
  <sheetData>
    <row r="1" spans="1:4" s="371" customFormat="1" ht="17.25" customHeight="1">
      <c r="A1" s="334"/>
      <c r="B1" s="334"/>
      <c r="C1" s="334"/>
      <c r="D1" s="334"/>
    </row>
    <row r="2" spans="1:4" s="79" customFormat="1" ht="17.25" customHeight="1">
      <c r="A2" s="573" t="s">
        <v>77</v>
      </c>
      <c r="B2" s="573"/>
      <c r="C2" s="573"/>
      <c r="D2" s="573"/>
    </row>
    <row r="3" spans="1:4" s="79" customFormat="1" ht="17.25" customHeight="1">
      <c r="A3" s="573" t="s">
        <v>104</v>
      </c>
      <c r="B3" s="573"/>
      <c r="C3" s="573"/>
      <c r="D3" s="573"/>
    </row>
    <row r="4" spans="1:4" s="79" customFormat="1" ht="17.25" customHeight="1">
      <c r="A4" s="573" t="s">
        <v>105</v>
      </c>
      <c r="B4" s="573"/>
      <c r="C4" s="573"/>
      <c r="D4" s="573"/>
    </row>
    <row r="5" spans="1:4" s="79" customFormat="1" ht="17.25" customHeight="1">
      <c r="A5" s="573" t="s">
        <v>106</v>
      </c>
      <c r="B5" s="573"/>
      <c r="C5" s="573"/>
      <c r="D5" s="573"/>
    </row>
    <row r="6" spans="1:4" s="371" customFormat="1" ht="17.25" customHeight="1">
      <c r="A6" s="334"/>
      <c r="B6" s="334"/>
      <c r="C6" s="334"/>
      <c r="D6" s="334"/>
    </row>
    <row r="7" spans="1:4" s="371" customFormat="1" ht="30">
      <c r="A7" s="305" t="s">
        <v>60</v>
      </c>
      <c r="B7" s="311" t="s">
        <v>232</v>
      </c>
      <c r="C7" s="311" t="s">
        <v>243</v>
      </c>
      <c r="D7" s="305" t="s">
        <v>76</v>
      </c>
    </row>
    <row r="8" spans="1:4" s="371" customFormat="1" ht="17.25" customHeight="1">
      <c r="A8" s="309" t="s">
        <v>2</v>
      </c>
      <c r="B8" s="77">
        <v>18.53</v>
      </c>
      <c r="C8" s="76">
        <v>3.64</v>
      </c>
      <c r="D8" s="310">
        <v>1.1000000000000001</v>
      </c>
    </row>
    <row r="9" spans="1:4" s="371" customFormat="1" ht="17.25" customHeight="1">
      <c r="A9" s="309" t="s">
        <v>5</v>
      </c>
      <c r="B9" s="77">
        <v>17.850000000000001</v>
      </c>
      <c r="C9" s="76">
        <v>3.48</v>
      </c>
      <c r="D9" s="306">
        <v>1.01</v>
      </c>
    </row>
    <row r="10" spans="1:4" s="371" customFormat="1" ht="17.25" customHeight="1">
      <c r="A10" s="309">
        <v>1992</v>
      </c>
      <c r="B10" s="77">
        <v>17.829999999999998</v>
      </c>
      <c r="C10" s="76">
        <v>3.43</v>
      </c>
      <c r="D10" s="306">
        <v>0.99</v>
      </c>
    </row>
    <row r="11" spans="1:4" s="371" customFormat="1" ht="17.25" customHeight="1">
      <c r="A11" s="309" t="s">
        <v>6</v>
      </c>
      <c r="B11" s="77">
        <v>20.260000000000002</v>
      </c>
      <c r="C11" s="76">
        <v>3.78</v>
      </c>
      <c r="D11" s="306">
        <v>1.1599999999999999</v>
      </c>
    </row>
    <row r="12" spans="1:4" s="371" customFormat="1" ht="17.25" customHeight="1">
      <c r="A12" s="309" t="s">
        <v>7</v>
      </c>
      <c r="B12" s="77">
        <v>18.420000000000002</v>
      </c>
      <c r="C12" s="76">
        <v>3.43</v>
      </c>
      <c r="D12" s="306">
        <v>1.05</v>
      </c>
    </row>
    <row r="13" spans="1:4" s="371" customFormat="1" ht="17.25" customHeight="1">
      <c r="A13" s="309" t="s">
        <v>3</v>
      </c>
      <c r="B13" s="77">
        <v>18.93</v>
      </c>
      <c r="C13" s="76">
        <v>3.51</v>
      </c>
      <c r="D13" s="306">
        <v>1.08</v>
      </c>
    </row>
    <row r="14" spans="1:4" s="371" customFormat="1" ht="17.25" customHeight="1">
      <c r="A14" s="309" t="s">
        <v>8</v>
      </c>
      <c r="B14" s="77">
        <v>18.95</v>
      </c>
      <c r="C14" s="76">
        <v>3.55</v>
      </c>
      <c r="D14" s="306">
        <v>1.06</v>
      </c>
    </row>
    <row r="15" spans="1:4" s="371" customFormat="1" ht="17.25" customHeight="1">
      <c r="A15" s="309" t="s">
        <v>9</v>
      </c>
      <c r="B15" s="77">
        <v>19.100000000000001</v>
      </c>
      <c r="C15" s="76">
        <v>3.63</v>
      </c>
      <c r="D15" s="306">
        <v>1.06</v>
      </c>
    </row>
    <row r="16" spans="1:4" s="371" customFormat="1" ht="17.25" customHeight="1">
      <c r="A16" s="309" t="s">
        <v>10</v>
      </c>
      <c r="B16" s="77">
        <v>15.98</v>
      </c>
      <c r="C16" s="76">
        <v>3.02</v>
      </c>
      <c r="D16" s="306">
        <v>0.86</v>
      </c>
    </row>
    <row r="17" spans="1:4" s="371" customFormat="1" ht="17.25" customHeight="1">
      <c r="A17" s="309" t="s">
        <v>11</v>
      </c>
      <c r="B17" s="77">
        <v>19.260000000000002</v>
      </c>
      <c r="C17" s="76">
        <v>3.58</v>
      </c>
      <c r="D17" s="306">
        <v>1.03</v>
      </c>
    </row>
    <row r="18" spans="1:4" s="371" customFormat="1" ht="17.25" customHeight="1">
      <c r="A18" s="307">
        <v>2000</v>
      </c>
      <c r="B18" s="77">
        <v>18.329999999999998</v>
      </c>
      <c r="C18" s="76">
        <v>3.46</v>
      </c>
      <c r="D18" s="306">
        <v>1.01</v>
      </c>
    </row>
    <row r="19" spans="1:4" s="371" customFormat="1" ht="17.25" customHeight="1">
      <c r="A19" s="307">
        <v>2001</v>
      </c>
      <c r="B19" s="77">
        <v>19.14</v>
      </c>
      <c r="C19" s="80">
        <v>3.66</v>
      </c>
      <c r="D19" s="306">
        <v>1.05</v>
      </c>
    </row>
    <row r="20" spans="1:4" s="371" customFormat="1" ht="17.25" customHeight="1">
      <c r="A20" s="307">
        <v>2002</v>
      </c>
      <c r="B20" s="77">
        <v>17.97</v>
      </c>
      <c r="C20" s="80">
        <v>3.59</v>
      </c>
      <c r="D20" s="306">
        <v>0.98</v>
      </c>
    </row>
    <row r="21" spans="1:4" s="371" customFormat="1" ht="17.25" customHeight="1">
      <c r="A21" s="307">
        <v>2003</v>
      </c>
      <c r="B21" s="77">
        <v>18.989999999999998</v>
      </c>
      <c r="C21" s="80">
        <v>3.75</v>
      </c>
      <c r="D21" s="306">
        <v>1.02</v>
      </c>
    </row>
    <row r="22" spans="1:4" s="371" customFormat="1" ht="17.25" customHeight="1">
      <c r="A22" s="307">
        <v>2004</v>
      </c>
      <c r="B22" s="77">
        <v>18.600000000000001</v>
      </c>
      <c r="C22" s="80">
        <v>3.73</v>
      </c>
      <c r="D22" s="306">
        <v>0.98</v>
      </c>
    </row>
    <row r="23" spans="1:4" s="371" customFormat="1" ht="17.25" customHeight="1">
      <c r="A23" s="307">
        <v>2005</v>
      </c>
      <c r="B23" s="77">
        <v>18.88</v>
      </c>
      <c r="C23" s="80">
        <v>3.8</v>
      </c>
      <c r="D23" s="306">
        <v>1.01</v>
      </c>
    </row>
    <row r="24" spans="1:4" s="371" customFormat="1" ht="17.25" customHeight="1">
      <c r="A24" s="307">
        <v>2006</v>
      </c>
      <c r="B24" s="77">
        <v>19.600000000000001</v>
      </c>
      <c r="C24" s="80">
        <v>3.93</v>
      </c>
      <c r="D24" s="306">
        <v>1.02</v>
      </c>
    </row>
    <row r="25" spans="1:4" s="371" customFormat="1" ht="17.25" customHeight="1">
      <c r="A25" s="307">
        <v>2007</v>
      </c>
      <c r="B25" s="77">
        <v>19.03</v>
      </c>
      <c r="C25" s="80">
        <v>3.83</v>
      </c>
      <c r="D25" s="306">
        <v>0.99</v>
      </c>
    </row>
    <row r="26" spans="1:4" s="371" customFormat="1" ht="17.25" customHeight="1">
      <c r="A26" s="307">
        <v>2008</v>
      </c>
      <c r="B26" s="77">
        <v>20.18</v>
      </c>
      <c r="C26" s="80">
        <v>4.08</v>
      </c>
      <c r="D26" s="306">
        <v>1.05</v>
      </c>
    </row>
    <row r="27" spans="1:4" s="371" customFormat="1" ht="17.25" customHeight="1">
      <c r="A27" s="307">
        <v>2009</v>
      </c>
      <c r="B27" s="77">
        <v>19.2</v>
      </c>
      <c r="C27" s="80">
        <v>3.93</v>
      </c>
      <c r="D27" s="306">
        <v>1.01</v>
      </c>
    </row>
    <row r="28" spans="1:4" s="371" customFormat="1" ht="17.25" customHeight="1">
      <c r="A28" s="307">
        <v>2010</v>
      </c>
      <c r="B28" s="77">
        <v>18.03</v>
      </c>
      <c r="C28" s="80">
        <v>3.69</v>
      </c>
      <c r="D28" s="306">
        <v>0.93</v>
      </c>
    </row>
    <row r="29" spans="1:4" s="371" customFormat="1" ht="17.25" customHeight="1">
      <c r="A29" s="307">
        <v>2011</v>
      </c>
      <c r="B29" s="77">
        <v>19.690000000000001</v>
      </c>
      <c r="C29" s="80">
        <v>4.01</v>
      </c>
      <c r="D29" s="308">
        <v>1</v>
      </c>
    </row>
    <row r="30" spans="1:4" s="371" customFormat="1" ht="17.25" customHeight="1">
      <c r="A30" s="307">
        <v>2012</v>
      </c>
      <c r="B30" s="77">
        <v>18.89</v>
      </c>
      <c r="C30" s="76">
        <v>3.84</v>
      </c>
      <c r="D30" s="306">
        <v>0.96</v>
      </c>
    </row>
    <row r="31" spans="1:4" s="371" customFormat="1" ht="17.25" customHeight="1">
      <c r="A31" s="307">
        <v>2013</v>
      </c>
      <c r="B31" s="77">
        <v>19.02</v>
      </c>
      <c r="C31" s="76">
        <v>3.85</v>
      </c>
      <c r="D31" s="306">
        <v>0.97</v>
      </c>
    </row>
    <row r="32" spans="1:4" s="371" customFormat="1" ht="17.25" customHeight="1">
      <c r="A32" s="307">
        <v>2014</v>
      </c>
      <c r="B32" s="77">
        <v>18.63</v>
      </c>
      <c r="C32" s="76">
        <v>3.84</v>
      </c>
      <c r="D32" s="306">
        <v>0.96</v>
      </c>
    </row>
    <row r="33" spans="1:5" s="371" customFormat="1" ht="17.25" customHeight="1">
      <c r="A33" s="307">
        <v>2015</v>
      </c>
      <c r="B33" s="77">
        <v>18.48</v>
      </c>
      <c r="C33" s="76">
        <v>3.78</v>
      </c>
      <c r="D33" s="306">
        <v>0.93</v>
      </c>
    </row>
    <row r="34" spans="1:5" s="371" customFormat="1" ht="17.25" customHeight="1">
      <c r="A34" s="307">
        <v>2016</v>
      </c>
      <c r="B34" s="77">
        <v>15.91</v>
      </c>
      <c r="C34" s="76">
        <v>3.21</v>
      </c>
      <c r="D34" s="306">
        <v>0.78</v>
      </c>
    </row>
    <row r="35" spans="1:5" s="371" customFormat="1" ht="17.25" customHeight="1">
      <c r="A35" s="423">
        <v>2017</v>
      </c>
      <c r="B35" s="424">
        <v>17.89</v>
      </c>
      <c r="C35" s="423">
        <v>3.53</v>
      </c>
      <c r="D35" s="423">
        <v>0.88</v>
      </c>
    </row>
    <row r="36" spans="1:5" s="371" customFormat="1" ht="17.25" customHeight="1">
      <c r="A36" s="423">
        <v>2018</v>
      </c>
      <c r="B36" s="424">
        <v>17.16</v>
      </c>
      <c r="C36" s="423">
        <v>3.42</v>
      </c>
      <c r="D36" s="423">
        <v>0.85</v>
      </c>
    </row>
    <row r="37" spans="1:5" s="371" customFormat="1" ht="17.25" customHeight="1">
      <c r="A37" s="423">
        <v>2019</v>
      </c>
      <c r="B37" s="424">
        <v>17.190000000000001</v>
      </c>
      <c r="C37" s="423">
        <v>3.47</v>
      </c>
      <c r="D37" s="423">
        <v>0.86</v>
      </c>
    </row>
    <row r="38" spans="1:5" s="371" customFormat="1" ht="17.25" customHeight="1">
      <c r="A38" s="335">
        <v>2020</v>
      </c>
      <c r="B38" s="336">
        <v>16.73</v>
      </c>
      <c r="C38" s="335">
        <v>3.33</v>
      </c>
      <c r="D38" s="335">
        <v>0.82</v>
      </c>
    </row>
    <row r="39" spans="1:5" s="79" customFormat="1" ht="17.25" customHeight="1">
      <c r="A39" s="78" t="s">
        <v>68</v>
      </c>
      <c r="B39" s="78"/>
      <c r="E39" s="78"/>
    </row>
  </sheetData>
  <mergeCells count="4">
    <mergeCell ref="A2:D2"/>
    <mergeCell ref="A3:D3"/>
    <mergeCell ref="A4:D4"/>
    <mergeCell ref="A5:D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6" orientation="landscape" r:id="rId1"/>
  <headerFooter alignWithMargins="0"/>
  <ignoredErrors>
    <ignoredError sqref="A8:A1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2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20.6640625" style="29" customWidth="1"/>
    <col min="2" max="14" width="10.1640625" style="29" customWidth="1"/>
    <col min="15" max="16384" width="9.1640625" style="29"/>
  </cols>
  <sheetData>
    <row r="2" spans="1:14" ht="17.25" customHeight="1">
      <c r="A2" s="578" t="s">
        <v>162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</row>
    <row r="3" spans="1:14" ht="17.25" customHeight="1">
      <c r="A3" s="578" t="s">
        <v>297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17.25" customHeight="1">
      <c r="A4" s="578" t="s">
        <v>106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</row>
    <row r="6" spans="1:14" ht="17.25" customHeight="1">
      <c r="A6" s="82" t="s">
        <v>152</v>
      </c>
      <c r="B6" s="73" t="s">
        <v>129</v>
      </c>
      <c r="C6" s="73" t="s">
        <v>130</v>
      </c>
      <c r="D6" s="73" t="s">
        <v>131</v>
      </c>
      <c r="E6" s="73" t="s">
        <v>132</v>
      </c>
      <c r="F6" s="73" t="s">
        <v>133</v>
      </c>
      <c r="G6" s="73" t="s">
        <v>144</v>
      </c>
      <c r="H6" s="73" t="s">
        <v>145</v>
      </c>
      <c r="I6" s="73" t="s">
        <v>134</v>
      </c>
      <c r="J6" s="73" t="s">
        <v>135</v>
      </c>
      <c r="K6" s="73" t="s">
        <v>136</v>
      </c>
      <c r="L6" s="73" t="s">
        <v>137</v>
      </c>
      <c r="M6" s="73" t="s">
        <v>138</v>
      </c>
      <c r="N6" s="73" t="s">
        <v>0</v>
      </c>
    </row>
    <row r="7" spans="1:14" ht="17.25" customHeight="1">
      <c r="A7" s="83" t="s">
        <v>83</v>
      </c>
      <c r="B7" s="338">
        <v>1.19</v>
      </c>
      <c r="C7" s="338">
        <v>1.37</v>
      </c>
      <c r="D7" s="338">
        <v>1.43</v>
      </c>
      <c r="E7" s="338">
        <v>1.69</v>
      </c>
      <c r="F7" s="338">
        <v>1.67</v>
      </c>
      <c r="G7" s="338">
        <v>2.08</v>
      </c>
      <c r="H7" s="338">
        <v>1.97</v>
      </c>
      <c r="I7" s="338">
        <v>1.96</v>
      </c>
      <c r="J7" s="339">
        <v>2</v>
      </c>
      <c r="K7" s="339">
        <v>1.75</v>
      </c>
      <c r="L7" s="339">
        <v>1.61</v>
      </c>
      <c r="M7" s="339">
        <v>1.42</v>
      </c>
      <c r="N7" s="339">
        <v>20.14</v>
      </c>
    </row>
    <row r="8" spans="1:14" ht="17.25" customHeight="1">
      <c r="A8" s="83" t="s">
        <v>89</v>
      </c>
      <c r="B8" s="338">
        <v>1.08</v>
      </c>
      <c r="C8" s="338">
        <v>1.56</v>
      </c>
      <c r="D8" s="338">
        <v>1.63</v>
      </c>
      <c r="E8" s="338">
        <v>1.74</v>
      </c>
      <c r="F8" s="338">
        <v>1.49</v>
      </c>
      <c r="G8" s="338">
        <v>1.61</v>
      </c>
      <c r="H8" s="338">
        <v>1.37</v>
      </c>
      <c r="I8" s="338">
        <v>1.1299999999999999</v>
      </c>
      <c r="J8" s="339">
        <v>1.0900000000000001</v>
      </c>
      <c r="K8" s="339">
        <v>0.88</v>
      </c>
      <c r="L8" s="339">
        <v>0.7</v>
      </c>
      <c r="M8" s="339">
        <v>0.7</v>
      </c>
      <c r="N8" s="339">
        <v>14.97</v>
      </c>
    </row>
    <row r="9" spans="1:14" ht="17.25" customHeight="1">
      <c r="A9" s="83" t="s">
        <v>90</v>
      </c>
      <c r="B9" s="338">
        <v>0.49</v>
      </c>
      <c r="C9" s="338">
        <v>0.54</v>
      </c>
      <c r="D9" s="338">
        <v>0.76</v>
      </c>
      <c r="E9" s="338">
        <v>1.1200000000000001</v>
      </c>
      <c r="F9" s="338">
        <v>1</v>
      </c>
      <c r="G9" s="338">
        <v>1.1599999999999999</v>
      </c>
      <c r="H9" s="338">
        <v>1.06</v>
      </c>
      <c r="I9" s="338">
        <v>1.1599999999999999</v>
      </c>
      <c r="J9" s="339">
        <v>1.23</v>
      </c>
      <c r="K9" s="339">
        <v>1.1299999999999999</v>
      </c>
      <c r="L9" s="339">
        <v>0.98</v>
      </c>
      <c r="M9" s="339">
        <v>0.87</v>
      </c>
      <c r="N9" s="339">
        <v>11.51</v>
      </c>
    </row>
    <row r="10" spans="1:14" ht="17.25" customHeight="1">
      <c r="A10" s="83" t="s">
        <v>91</v>
      </c>
      <c r="B10" s="338">
        <v>0.91</v>
      </c>
      <c r="C10" s="338">
        <v>1.34</v>
      </c>
      <c r="D10" s="338">
        <v>1.47</v>
      </c>
      <c r="E10" s="338">
        <v>1.75</v>
      </c>
      <c r="F10" s="338">
        <v>1.79</v>
      </c>
      <c r="G10" s="338">
        <v>2.04</v>
      </c>
      <c r="H10" s="338">
        <v>1.85</v>
      </c>
      <c r="I10" s="338">
        <v>1.71</v>
      </c>
      <c r="J10" s="339">
        <v>1.82</v>
      </c>
      <c r="K10" s="339">
        <v>1.71</v>
      </c>
      <c r="L10" s="339">
        <v>1.43</v>
      </c>
      <c r="M10" s="339">
        <v>1.23</v>
      </c>
      <c r="N10" s="339">
        <v>19.05</v>
      </c>
    </row>
    <row r="11" spans="1:14" ht="17.25" customHeight="1">
      <c r="A11" s="83" t="s">
        <v>107</v>
      </c>
      <c r="B11" s="338">
        <v>0.76</v>
      </c>
      <c r="C11" s="338">
        <v>1.07</v>
      </c>
      <c r="D11" s="338">
        <v>1.23</v>
      </c>
      <c r="E11" s="338">
        <v>1.53</v>
      </c>
      <c r="F11" s="338">
        <v>1.54</v>
      </c>
      <c r="G11" s="338">
        <v>1.77</v>
      </c>
      <c r="H11" s="338">
        <v>1.69</v>
      </c>
      <c r="I11" s="338">
        <v>1.81</v>
      </c>
      <c r="J11" s="339">
        <v>1.87</v>
      </c>
      <c r="K11" s="339">
        <v>1.52</v>
      </c>
      <c r="L11" s="339">
        <v>1.27</v>
      </c>
      <c r="M11" s="339">
        <v>1.05</v>
      </c>
      <c r="N11" s="339">
        <v>17.13</v>
      </c>
    </row>
    <row r="12" spans="1:14" ht="17.25" customHeight="1">
      <c r="A12" s="83" t="s">
        <v>84</v>
      </c>
      <c r="B12" s="338">
        <v>0.8</v>
      </c>
      <c r="C12" s="338">
        <v>0.92</v>
      </c>
      <c r="D12" s="338">
        <v>1.1599999999999999</v>
      </c>
      <c r="E12" s="338">
        <v>1.54</v>
      </c>
      <c r="F12" s="338">
        <v>1.47</v>
      </c>
      <c r="G12" s="338">
        <v>1.84</v>
      </c>
      <c r="H12" s="338">
        <v>1.79</v>
      </c>
      <c r="I12" s="338">
        <v>1.82</v>
      </c>
      <c r="J12" s="339">
        <v>1.81</v>
      </c>
      <c r="K12" s="339">
        <v>1.57</v>
      </c>
      <c r="L12" s="339">
        <v>1.36</v>
      </c>
      <c r="M12" s="339">
        <v>1.2</v>
      </c>
      <c r="N12" s="339">
        <v>17.28</v>
      </c>
    </row>
    <row r="13" spans="1:14" ht="17.25" customHeight="1">
      <c r="A13" s="83" t="s">
        <v>86</v>
      </c>
      <c r="B13" s="338">
        <v>1.34</v>
      </c>
      <c r="C13" s="338">
        <v>1.59</v>
      </c>
      <c r="D13" s="338">
        <v>1.65</v>
      </c>
      <c r="E13" s="338">
        <v>1.75</v>
      </c>
      <c r="F13" s="338">
        <v>1.52</v>
      </c>
      <c r="G13" s="338">
        <v>1.9</v>
      </c>
      <c r="H13" s="338">
        <v>1.93</v>
      </c>
      <c r="I13" s="338">
        <v>1.86</v>
      </c>
      <c r="J13" s="339">
        <v>1.74</v>
      </c>
      <c r="K13" s="339">
        <v>1.47</v>
      </c>
      <c r="L13" s="339">
        <v>1.35</v>
      </c>
      <c r="M13" s="339">
        <v>1.39</v>
      </c>
      <c r="N13" s="339">
        <v>19.510000000000002</v>
      </c>
    </row>
    <row r="14" spans="1:14" ht="17.25" customHeight="1">
      <c r="A14" s="83" t="s">
        <v>92</v>
      </c>
      <c r="B14" s="338">
        <v>0.73</v>
      </c>
      <c r="C14" s="338">
        <v>0.99</v>
      </c>
      <c r="D14" s="338">
        <v>1.1399999999999999</v>
      </c>
      <c r="E14" s="338">
        <v>1.32</v>
      </c>
      <c r="F14" s="338">
        <v>1.1599999999999999</v>
      </c>
      <c r="G14" s="338">
        <v>1.4</v>
      </c>
      <c r="H14" s="338">
        <v>1.17</v>
      </c>
      <c r="I14" s="338">
        <v>0.87</v>
      </c>
      <c r="J14" s="339">
        <v>0.73</v>
      </c>
      <c r="K14" s="339">
        <v>0.54</v>
      </c>
      <c r="L14" s="339">
        <v>0.52</v>
      </c>
      <c r="M14" s="339">
        <v>0.54</v>
      </c>
      <c r="N14" s="339">
        <v>11.11</v>
      </c>
    </row>
    <row r="15" spans="1:14" ht="17.25" customHeight="1">
      <c r="A15" s="83" t="s">
        <v>87</v>
      </c>
      <c r="B15" s="338">
        <v>1.17</v>
      </c>
      <c r="C15" s="338">
        <v>1.53</v>
      </c>
      <c r="D15" s="338">
        <v>1.7</v>
      </c>
      <c r="E15" s="338">
        <v>1.85</v>
      </c>
      <c r="F15" s="338">
        <v>1.7</v>
      </c>
      <c r="G15" s="338">
        <v>1.89</v>
      </c>
      <c r="H15" s="338">
        <v>1.79</v>
      </c>
      <c r="I15" s="338">
        <v>1.69</v>
      </c>
      <c r="J15" s="339">
        <v>1.68</v>
      </c>
      <c r="K15" s="339">
        <v>1.5</v>
      </c>
      <c r="L15" s="339">
        <v>1.32</v>
      </c>
      <c r="M15" s="339">
        <v>1.31</v>
      </c>
      <c r="N15" s="339">
        <v>19.149999999999999</v>
      </c>
    </row>
    <row r="16" spans="1:14" ht="17.25" customHeight="1">
      <c r="A16" s="83" t="s">
        <v>88</v>
      </c>
      <c r="B16" s="338">
        <v>0.81</v>
      </c>
      <c r="C16" s="338">
        <v>0.8</v>
      </c>
      <c r="D16" s="338">
        <v>0.96</v>
      </c>
      <c r="E16" s="338">
        <v>1.1399999999999999</v>
      </c>
      <c r="F16" s="338">
        <v>1.08</v>
      </c>
      <c r="G16" s="338">
        <v>1.56</v>
      </c>
      <c r="H16" s="338">
        <v>1.48</v>
      </c>
      <c r="I16" s="338">
        <v>1.57</v>
      </c>
      <c r="J16" s="339">
        <v>1.58</v>
      </c>
      <c r="K16" s="339">
        <v>1.5</v>
      </c>
      <c r="L16" s="339">
        <v>1.34</v>
      </c>
      <c r="M16" s="339">
        <v>1.0900000000000001</v>
      </c>
      <c r="N16" s="339">
        <v>14.93</v>
      </c>
    </row>
    <row r="17" spans="1:14" s="85" customFormat="1" ht="17.25" customHeight="1">
      <c r="A17" s="84" t="s">
        <v>239</v>
      </c>
      <c r="B17" s="340">
        <v>0.96</v>
      </c>
      <c r="C17" s="340">
        <v>1.1499999999999999</v>
      </c>
      <c r="D17" s="340">
        <v>1.3</v>
      </c>
      <c r="E17" s="340">
        <v>1.57</v>
      </c>
      <c r="F17" s="340">
        <v>1.49</v>
      </c>
      <c r="G17" s="340">
        <v>1.84</v>
      </c>
      <c r="H17" s="340">
        <v>1.76</v>
      </c>
      <c r="I17" s="340">
        <v>1.77</v>
      </c>
      <c r="J17" s="341">
        <v>1.77</v>
      </c>
      <c r="K17" s="341">
        <v>1.55</v>
      </c>
      <c r="L17" s="341">
        <v>1.37</v>
      </c>
      <c r="M17" s="341">
        <v>1.23</v>
      </c>
      <c r="N17" s="341">
        <v>17.760000000000002</v>
      </c>
    </row>
    <row r="18" spans="1:14" ht="17.25" customHeight="1">
      <c r="A18" s="83" t="s">
        <v>82</v>
      </c>
      <c r="B18" s="338">
        <v>1.19</v>
      </c>
      <c r="C18" s="338">
        <v>1.1499999999999999</v>
      </c>
      <c r="D18" s="338">
        <v>1.1599999999999999</v>
      </c>
      <c r="E18" s="338">
        <v>1.39</v>
      </c>
      <c r="F18" s="338">
        <v>1.6</v>
      </c>
      <c r="G18" s="338">
        <v>1.64</v>
      </c>
      <c r="H18" s="338">
        <v>1.42</v>
      </c>
      <c r="I18" s="338">
        <v>1.44</v>
      </c>
      <c r="J18" s="339">
        <v>1.62</v>
      </c>
      <c r="K18" s="339">
        <v>1.62</v>
      </c>
      <c r="L18" s="339">
        <v>1.4</v>
      </c>
      <c r="M18" s="339">
        <v>1.21</v>
      </c>
      <c r="N18" s="339">
        <v>16.84</v>
      </c>
    </row>
    <row r="19" spans="1:14" ht="17.25" customHeight="1">
      <c r="A19" s="83" t="s">
        <v>85</v>
      </c>
      <c r="B19" s="338">
        <v>1.08</v>
      </c>
      <c r="C19" s="338">
        <v>0.97</v>
      </c>
      <c r="D19" s="338">
        <v>1.03</v>
      </c>
      <c r="E19" s="338">
        <v>1.1599999999999999</v>
      </c>
      <c r="F19" s="338">
        <v>1.21</v>
      </c>
      <c r="G19" s="338">
        <v>1.37</v>
      </c>
      <c r="H19" s="338">
        <v>1.49</v>
      </c>
      <c r="I19" s="338">
        <v>1.55</v>
      </c>
      <c r="J19" s="339">
        <v>1.48</v>
      </c>
      <c r="K19" s="339">
        <v>1.33</v>
      </c>
      <c r="L19" s="339">
        <v>1.19</v>
      </c>
      <c r="M19" s="339">
        <v>1.1200000000000001</v>
      </c>
      <c r="N19" s="339">
        <v>14.99</v>
      </c>
    </row>
    <row r="20" spans="1:14" s="85" customFormat="1" ht="17.25" customHeight="1">
      <c r="A20" s="84" t="s">
        <v>153</v>
      </c>
      <c r="B20" s="340">
        <v>1.1299999999999999</v>
      </c>
      <c r="C20" s="340">
        <v>1.06</v>
      </c>
      <c r="D20" s="340">
        <v>1.0900000000000001</v>
      </c>
      <c r="E20" s="340">
        <v>1.27</v>
      </c>
      <c r="F20" s="340">
        <v>1.4</v>
      </c>
      <c r="G20" s="340">
        <v>1.5</v>
      </c>
      <c r="H20" s="340">
        <v>1.45</v>
      </c>
      <c r="I20" s="340">
        <v>1.5</v>
      </c>
      <c r="J20" s="341">
        <v>1.55</v>
      </c>
      <c r="K20" s="341">
        <v>1.47</v>
      </c>
      <c r="L20" s="341">
        <v>1.29</v>
      </c>
      <c r="M20" s="341">
        <v>1.1599999999999999</v>
      </c>
      <c r="N20" s="341">
        <v>15.88</v>
      </c>
    </row>
    <row r="21" spans="1:14" s="85" customFormat="1" ht="17.25" customHeight="1">
      <c r="A21" s="86" t="s">
        <v>282</v>
      </c>
      <c r="B21" s="342">
        <v>1.06</v>
      </c>
      <c r="C21" s="342">
        <v>1.1000000000000001</v>
      </c>
      <c r="D21" s="342">
        <v>1.19</v>
      </c>
      <c r="E21" s="342">
        <v>1.41</v>
      </c>
      <c r="F21" s="342">
        <v>1.44</v>
      </c>
      <c r="G21" s="342">
        <v>1.65</v>
      </c>
      <c r="H21" s="342">
        <v>1.59</v>
      </c>
      <c r="I21" s="342">
        <v>1.62</v>
      </c>
      <c r="J21" s="343">
        <v>1.65</v>
      </c>
      <c r="K21" s="343">
        <v>1.5</v>
      </c>
      <c r="L21" s="343">
        <v>1.33</v>
      </c>
      <c r="M21" s="343">
        <v>1.19</v>
      </c>
      <c r="N21" s="343">
        <v>16.73</v>
      </c>
    </row>
    <row r="22" spans="1:14" ht="17.25" customHeight="1">
      <c r="A22" s="71" t="s">
        <v>68</v>
      </c>
      <c r="B22" s="71"/>
    </row>
  </sheetData>
  <mergeCells count="3">
    <mergeCell ref="A2:N2"/>
    <mergeCell ref="A3:N3"/>
    <mergeCell ref="A4:N4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2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21.5" style="29" customWidth="1"/>
    <col min="2" max="14" width="10.1640625" style="29" customWidth="1"/>
    <col min="15" max="16384" width="9.1640625" style="29"/>
  </cols>
  <sheetData>
    <row r="2" spans="1:14" ht="17.25" customHeight="1">
      <c r="A2" s="578" t="s">
        <v>199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</row>
    <row r="3" spans="1:14" ht="17.25" customHeight="1">
      <c r="A3" s="578" t="s">
        <v>298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 ht="17.25" customHeight="1">
      <c r="A4" s="578" t="s">
        <v>106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</row>
    <row r="6" spans="1:14" ht="17.25" customHeight="1">
      <c r="A6" s="82" t="s">
        <v>152</v>
      </c>
      <c r="B6" s="73" t="s">
        <v>129</v>
      </c>
      <c r="C6" s="73" t="s">
        <v>130</v>
      </c>
      <c r="D6" s="73" t="s">
        <v>131</v>
      </c>
      <c r="E6" s="73" t="s">
        <v>132</v>
      </c>
      <c r="F6" s="73" t="s">
        <v>133</v>
      </c>
      <c r="G6" s="73" t="s">
        <v>144</v>
      </c>
      <c r="H6" s="73" t="s">
        <v>145</v>
      </c>
      <c r="I6" s="73" t="s">
        <v>134</v>
      </c>
      <c r="J6" s="73" t="s">
        <v>135</v>
      </c>
      <c r="K6" s="73" t="s">
        <v>136</v>
      </c>
      <c r="L6" s="73" t="s">
        <v>137</v>
      </c>
      <c r="M6" s="73" t="s">
        <v>138</v>
      </c>
      <c r="N6" s="73" t="s">
        <v>0</v>
      </c>
    </row>
    <row r="7" spans="1:14" ht="17.25" customHeight="1">
      <c r="A7" s="83" t="s">
        <v>83</v>
      </c>
      <c r="B7" s="338">
        <v>0.24</v>
      </c>
      <c r="C7" s="338">
        <v>0.27</v>
      </c>
      <c r="D7" s="338">
        <v>0.28999999999999998</v>
      </c>
      <c r="E7" s="338">
        <v>0.34</v>
      </c>
      <c r="F7" s="338">
        <v>0.33</v>
      </c>
      <c r="G7" s="338">
        <v>0.4</v>
      </c>
      <c r="H7" s="338">
        <v>0.38</v>
      </c>
      <c r="I7" s="338">
        <v>0.39</v>
      </c>
      <c r="J7" s="339">
        <v>0.39</v>
      </c>
      <c r="K7" s="339">
        <v>0.36</v>
      </c>
      <c r="L7" s="339">
        <v>0.32</v>
      </c>
      <c r="M7" s="339">
        <v>0.28000000000000003</v>
      </c>
      <c r="N7" s="339">
        <v>3.98</v>
      </c>
    </row>
    <row r="8" spans="1:14" ht="17.25" customHeight="1">
      <c r="A8" s="83" t="s">
        <v>89</v>
      </c>
      <c r="B8" s="338">
        <v>0.21</v>
      </c>
      <c r="C8" s="338">
        <v>0.28999999999999998</v>
      </c>
      <c r="D8" s="338">
        <v>0.31</v>
      </c>
      <c r="E8" s="338">
        <v>0.33</v>
      </c>
      <c r="F8" s="338">
        <v>0.3</v>
      </c>
      <c r="G8" s="338">
        <v>0.33</v>
      </c>
      <c r="H8" s="338">
        <v>0.28999999999999998</v>
      </c>
      <c r="I8" s="338">
        <v>0.24</v>
      </c>
      <c r="J8" s="339">
        <v>0.23</v>
      </c>
      <c r="K8" s="339">
        <v>0.18</v>
      </c>
      <c r="L8" s="339">
        <v>0.14000000000000001</v>
      </c>
      <c r="M8" s="339">
        <v>0.14000000000000001</v>
      </c>
      <c r="N8" s="339">
        <v>2.98</v>
      </c>
    </row>
    <row r="9" spans="1:14" ht="17.25" customHeight="1">
      <c r="A9" s="83" t="s">
        <v>90</v>
      </c>
      <c r="B9" s="338">
        <v>0.1</v>
      </c>
      <c r="C9" s="338">
        <v>0.11</v>
      </c>
      <c r="D9" s="338">
        <v>0.15</v>
      </c>
      <c r="E9" s="338">
        <v>0.23</v>
      </c>
      <c r="F9" s="338">
        <v>0.2</v>
      </c>
      <c r="G9" s="338">
        <v>0.24</v>
      </c>
      <c r="H9" s="338">
        <v>0.22</v>
      </c>
      <c r="I9" s="338">
        <v>0.24</v>
      </c>
      <c r="J9" s="339">
        <v>0.26</v>
      </c>
      <c r="K9" s="339">
        <v>0.24</v>
      </c>
      <c r="L9" s="339">
        <v>0.21</v>
      </c>
      <c r="M9" s="339">
        <v>0.17</v>
      </c>
      <c r="N9" s="339">
        <v>2.38</v>
      </c>
    </row>
    <row r="10" spans="1:14" ht="17.25" customHeight="1">
      <c r="A10" s="83" t="s">
        <v>91</v>
      </c>
      <c r="B10" s="338">
        <v>0.18</v>
      </c>
      <c r="C10" s="338">
        <v>0.27</v>
      </c>
      <c r="D10" s="338">
        <v>0.28999999999999998</v>
      </c>
      <c r="E10" s="338">
        <v>0.34</v>
      </c>
      <c r="F10" s="338">
        <v>0.36</v>
      </c>
      <c r="G10" s="338">
        <v>0.41</v>
      </c>
      <c r="H10" s="338">
        <v>0.37</v>
      </c>
      <c r="I10" s="338">
        <v>0.35</v>
      </c>
      <c r="J10" s="339">
        <v>0.38</v>
      </c>
      <c r="K10" s="339">
        <v>0.36</v>
      </c>
      <c r="L10" s="339">
        <v>0.3</v>
      </c>
      <c r="M10" s="339">
        <v>0.25</v>
      </c>
      <c r="N10" s="339">
        <v>3.86</v>
      </c>
    </row>
    <row r="11" spans="1:14" ht="17.25" customHeight="1">
      <c r="A11" s="83" t="s">
        <v>107</v>
      </c>
      <c r="B11" s="338">
        <v>0.15</v>
      </c>
      <c r="C11" s="338">
        <v>0.21</v>
      </c>
      <c r="D11" s="338">
        <v>0.24</v>
      </c>
      <c r="E11" s="338">
        <v>0.28999999999999998</v>
      </c>
      <c r="F11" s="338">
        <v>0.28999999999999998</v>
      </c>
      <c r="G11" s="338">
        <v>0.34</v>
      </c>
      <c r="H11" s="338">
        <v>0.33</v>
      </c>
      <c r="I11" s="338">
        <v>0.36</v>
      </c>
      <c r="J11" s="339">
        <v>0.38</v>
      </c>
      <c r="K11" s="339">
        <v>0.31</v>
      </c>
      <c r="L11" s="339">
        <v>0.26</v>
      </c>
      <c r="M11" s="339">
        <v>0.21</v>
      </c>
      <c r="N11" s="339">
        <v>3.38</v>
      </c>
    </row>
    <row r="12" spans="1:14" ht="17.25" customHeight="1">
      <c r="A12" s="83" t="s">
        <v>84</v>
      </c>
      <c r="B12" s="338">
        <v>0.16</v>
      </c>
      <c r="C12" s="338">
        <v>0.18</v>
      </c>
      <c r="D12" s="338">
        <v>0.23</v>
      </c>
      <c r="E12" s="338">
        <v>0.3</v>
      </c>
      <c r="F12" s="338">
        <v>0.28000000000000003</v>
      </c>
      <c r="G12" s="338">
        <v>0.36</v>
      </c>
      <c r="H12" s="338">
        <v>0.35</v>
      </c>
      <c r="I12" s="338">
        <v>0.36</v>
      </c>
      <c r="J12" s="339">
        <v>0.37</v>
      </c>
      <c r="K12" s="339">
        <v>0.32</v>
      </c>
      <c r="L12" s="339">
        <v>0.28000000000000003</v>
      </c>
      <c r="M12" s="339">
        <v>0.24</v>
      </c>
      <c r="N12" s="339">
        <v>3.42</v>
      </c>
    </row>
    <row r="13" spans="1:14" ht="17.25" customHeight="1">
      <c r="A13" s="83" t="s">
        <v>86</v>
      </c>
      <c r="B13" s="338">
        <v>0.26</v>
      </c>
      <c r="C13" s="338">
        <v>0.31</v>
      </c>
      <c r="D13" s="338">
        <v>0.32</v>
      </c>
      <c r="E13" s="338">
        <v>0.33</v>
      </c>
      <c r="F13" s="338">
        <v>0.28999999999999998</v>
      </c>
      <c r="G13" s="338">
        <v>0.36</v>
      </c>
      <c r="H13" s="338">
        <v>0.37</v>
      </c>
      <c r="I13" s="338">
        <v>0.37</v>
      </c>
      <c r="J13" s="339">
        <v>0.34</v>
      </c>
      <c r="K13" s="339">
        <v>0.28999999999999998</v>
      </c>
      <c r="L13" s="339">
        <v>0.26</v>
      </c>
      <c r="M13" s="339">
        <v>0.26</v>
      </c>
      <c r="N13" s="339">
        <v>3.75</v>
      </c>
    </row>
    <row r="14" spans="1:14" ht="17.25" customHeight="1">
      <c r="A14" s="83" t="s">
        <v>92</v>
      </c>
      <c r="B14" s="338">
        <v>0.13</v>
      </c>
      <c r="C14" s="338">
        <v>0.18</v>
      </c>
      <c r="D14" s="338">
        <v>0.21</v>
      </c>
      <c r="E14" s="338">
        <v>0.24</v>
      </c>
      <c r="F14" s="338">
        <v>0.22</v>
      </c>
      <c r="G14" s="338">
        <v>0.28000000000000003</v>
      </c>
      <c r="H14" s="338">
        <v>0.24</v>
      </c>
      <c r="I14" s="338">
        <v>0.18</v>
      </c>
      <c r="J14" s="339">
        <v>0.15</v>
      </c>
      <c r="K14" s="339">
        <v>0.11</v>
      </c>
      <c r="L14" s="339">
        <v>0.1</v>
      </c>
      <c r="M14" s="339">
        <v>0.1</v>
      </c>
      <c r="N14" s="339">
        <v>2.13</v>
      </c>
    </row>
    <row r="15" spans="1:14" ht="17.25" customHeight="1">
      <c r="A15" s="83" t="s">
        <v>87</v>
      </c>
      <c r="B15" s="338">
        <v>0.22</v>
      </c>
      <c r="C15" s="338">
        <v>0.28999999999999998</v>
      </c>
      <c r="D15" s="338">
        <v>0.32</v>
      </c>
      <c r="E15" s="338">
        <v>0.35</v>
      </c>
      <c r="F15" s="338">
        <v>0.32</v>
      </c>
      <c r="G15" s="338">
        <v>0.36</v>
      </c>
      <c r="H15" s="338">
        <v>0.34</v>
      </c>
      <c r="I15" s="338">
        <v>0.33</v>
      </c>
      <c r="J15" s="339">
        <v>0.33</v>
      </c>
      <c r="K15" s="339">
        <v>0.3</v>
      </c>
      <c r="L15" s="339">
        <v>0.26</v>
      </c>
      <c r="M15" s="339">
        <v>0.25</v>
      </c>
      <c r="N15" s="339">
        <v>3.67</v>
      </c>
    </row>
    <row r="16" spans="1:14" ht="17.25" customHeight="1">
      <c r="A16" s="83" t="s">
        <v>88</v>
      </c>
      <c r="B16" s="338">
        <v>0.16</v>
      </c>
      <c r="C16" s="338">
        <v>0.16</v>
      </c>
      <c r="D16" s="338">
        <v>0.19</v>
      </c>
      <c r="E16" s="338">
        <v>0.23</v>
      </c>
      <c r="F16" s="338">
        <v>0.22</v>
      </c>
      <c r="G16" s="338">
        <v>0.31</v>
      </c>
      <c r="H16" s="338">
        <v>0.3</v>
      </c>
      <c r="I16" s="338">
        <v>0.32</v>
      </c>
      <c r="J16" s="339">
        <v>0.33</v>
      </c>
      <c r="K16" s="339">
        <v>0.31</v>
      </c>
      <c r="L16" s="339">
        <v>0.26</v>
      </c>
      <c r="M16" s="339">
        <v>0.2</v>
      </c>
      <c r="N16" s="339">
        <v>2.98</v>
      </c>
    </row>
    <row r="17" spans="1:14" s="85" customFormat="1" ht="17.25" customHeight="1">
      <c r="A17" s="84" t="s">
        <v>239</v>
      </c>
      <c r="B17" s="340">
        <v>0.19</v>
      </c>
      <c r="C17" s="340">
        <v>0.22</v>
      </c>
      <c r="D17" s="340">
        <v>0.26</v>
      </c>
      <c r="E17" s="340">
        <v>0.31</v>
      </c>
      <c r="F17" s="340">
        <v>0.28999999999999998</v>
      </c>
      <c r="G17" s="340">
        <v>0.36</v>
      </c>
      <c r="H17" s="340">
        <v>0.34</v>
      </c>
      <c r="I17" s="340">
        <v>0.35</v>
      </c>
      <c r="J17" s="341">
        <v>0.35</v>
      </c>
      <c r="K17" s="341">
        <v>0.32</v>
      </c>
      <c r="L17" s="341">
        <v>0.27</v>
      </c>
      <c r="M17" s="341">
        <v>0.24</v>
      </c>
      <c r="N17" s="341">
        <v>3.5</v>
      </c>
    </row>
    <row r="18" spans="1:14" ht="17.25" customHeight="1">
      <c r="A18" s="83" t="s">
        <v>82</v>
      </c>
      <c r="B18" s="338">
        <v>0.24</v>
      </c>
      <c r="C18" s="338">
        <v>0.24</v>
      </c>
      <c r="D18" s="338">
        <v>0.24</v>
      </c>
      <c r="E18" s="338">
        <v>0.28999999999999998</v>
      </c>
      <c r="F18" s="338">
        <v>0.33</v>
      </c>
      <c r="G18" s="338">
        <v>0.33</v>
      </c>
      <c r="H18" s="338">
        <v>0.28999999999999998</v>
      </c>
      <c r="I18" s="338">
        <v>0.3</v>
      </c>
      <c r="J18" s="339">
        <v>0.34</v>
      </c>
      <c r="K18" s="339">
        <v>0.34</v>
      </c>
      <c r="L18" s="339">
        <v>0.28999999999999998</v>
      </c>
      <c r="M18" s="339">
        <v>0.25</v>
      </c>
      <c r="N18" s="339">
        <v>3.49</v>
      </c>
    </row>
    <row r="19" spans="1:14" ht="17.25" customHeight="1">
      <c r="A19" s="83" t="s">
        <v>85</v>
      </c>
      <c r="B19" s="338">
        <v>0.21</v>
      </c>
      <c r="C19" s="338">
        <v>0.19</v>
      </c>
      <c r="D19" s="338">
        <v>0.21</v>
      </c>
      <c r="E19" s="338">
        <v>0.23</v>
      </c>
      <c r="F19" s="338">
        <v>0.24</v>
      </c>
      <c r="G19" s="338">
        <v>0.26</v>
      </c>
      <c r="H19" s="338">
        <v>0.28999999999999998</v>
      </c>
      <c r="I19" s="338">
        <v>0.31</v>
      </c>
      <c r="J19" s="339">
        <v>0.28999999999999998</v>
      </c>
      <c r="K19" s="339">
        <v>0.26</v>
      </c>
      <c r="L19" s="339">
        <v>0.23</v>
      </c>
      <c r="M19" s="339">
        <v>0.22</v>
      </c>
      <c r="N19" s="339">
        <v>2.94</v>
      </c>
    </row>
    <row r="20" spans="1:14" s="85" customFormat="1" ht="17.25" customHeight="1">
      <c r="A20" s="84" t="s">
        <v>153</v>
      </c>
      <c r="B20" s="340">
        <v>0.23</v>
      </c>
      <c r="C20" s="340">
        <v>0.21</v>
      </c>
      <c r="D20" s="340">
        <v>0.22</v>
      </c>
      <c r="E20" s="340">
        <v>0.26</v>
      </c>
      <c r="F20" s="340">
        <v>0.28999999999999998</v>
      </c>
      <c r="G20" s="340">
        <v>0.3</v>
      </c>
      <c r="H20" s="340">
        <v>0.28999999999999998</v>
      </c>
      <c r="I20" s="340">
        <v>0.31</v>
      </c>
      <c r="J20" s="341">
        <v>0.31</v>
      </c>
      <c r="K20" s="341">
        <v>0.3</v>
      </c>
      <c r="L20" s="341">
        <v>0.26</v>
      </c>
      <c r="M20" s="341">
        <v>0.23</v>
      </c>
      <c r="N20" s="341">
        <v>3.21</v>
      </c>
    </row>
    <row r="21" spans="1:14" s="85" customFormat="1" ht="17.25" customHeight="1">
      <c r="A21" s="86" t="s">
        <v>282</v>
      </c>
      <c r="B21" s="342">
        <v>0.21</v>
      </c>
      <c r="C21" s="342">
        <v>0.22</v>
      </c>
      <c r="D21" s="342">
        <v>0.24</v>
      </c>
      <c r="E21" s="342">
        <v>0.28000000000000003</v>
      </c>
      <c r="F21" s="342">
        <v>0.28999999999999998</v>
      </c>
      <c r="G21" s="342">
        <v>0.32</v>
      </c>
      <c r="H21" s="342">
        <v>0.31</v>
      </c>
      <c r="I21" s="342">
        <v>0.33</v>
      </c>
      <c r="J21" s="343">
        <v>0.33</v>
      </c>
      <c r="K21" s="343">
        <v>0.31</v>
      </c>
      <c r="L21" s="343">
        <v>0.27</v>
      </c>
      <c r="M21" s="343">
        <v>0.23</v>
      </c>
      <c r="N21" s="343">
        <v>3.33</v>
      </c>
    </row>
    <row r="22" spans="1:14" ht="17.25" customHeight="1">
      <c r="A22" s="29" t="s">
        <v>68</v>
      </c>
      <c r="B22" s="71"/>
    </row>
  </sheetData>
  <mergeCells count="3">
    <mergeCell ref="A2:N2"/>
    <mergeCell ref="A3:N3"/>
    <mergeCell ref="A4:N4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10.6640625" style="88" customWidth="1"/>
    <col min="2" max="2" width="15.6640625" style="89" customWidth="1"/>
    <col min="3" max="3" width="23.6640625" style="89" customWidth="1"/>
    <col min="4" max="4" width="15.6640625" style="89" customWidth="1"/>
    <col min="5" max="5" width="23.6640625" style="89" customWidth="1"/>
    <col min="6" max="16384" width="9.1640625" style="89"/>
  </cols>
  <sheetData>
    <row r="1" spans="1:5" s="81" customFormat="1" ht="17.25" customHeight="1">
      <c r="A1" s="95"/>
      <c r="B1" s="96"/>
      <c r="C1" s="96"/>
    </row>
    <row r="2" spans="1:5" s="81" customFormat="1" ht="17.25" customHeight="1">
      <c r="A2" s="583" t="s">
        <v>204</v>
      </c>
      <c r="B2" s="583"/>
      <c r="C2" s="583"/>
      <c r="D2" s="583"/>
      <c r="E2" s="583"/>
    </row>
    <row r="3" spans="1:5" s="81" customFormat="1" ht="17.25" customHeight="1">
      <c r="A3" s="583" t="s">
        <v>96</v>
      </c>
      <c r="B3" s="583"/>
      <c r="C3" s="583"/>
      <c r="D3" s="583"/>
      <c r="E3" s="583"/>
    </row>
    <row r="4" spans="1:5" s="81" customFormat="1" ht="17.25" customHeight="1">
      <c r="A4" s="583" t="s">
        <v>72</v>
      </c>
      <c r="B4" s="583"/>
      <c r="C4" s="583"/>
      <c r="D4" s="583"/>
      <c r="E4" s="583"/>
    </row>
    <row r="5" spans="1:5" s="81" customFormat="1" ht="17.25" customHeight="1">
      <c r="A5" s="480"/>
      <c r="B5" s="480"/>
      <c r="C5" s="480"/>
      <c r="D5" s="480"/>
      <c r="E5" s="480"/>
    </row>
    <row r="6" spans="1:5" s="81" customFormat="1" ht="17.25" customHeight="1">
      <c r="A6" s="581" t="s">
        <v>97</v>
      </c>
      <c r="B6" s="585" t="s">
        <v>236</v>
      </c>
      <c r="C6" s="586"/>
      <c r="D6" s="587" t="s">
        <v>235</v>
      </c>
      <c r="E6" s="588"/>
    </row>
    <row r="7" spans="1:5" s="81" customFormat="1" ht="17.25" customHeight="1">
      <c r="A7" s="584"/>
      <c r="B7" s="581" t="s">
        <v>98</v>
      </c>
      <c r="C7" s="579" t="s">
        <v>244</v>
      </c>
      <c r="D7" s="581" t="s">
        <v>98</v>
      </c>
      <c r="E7" s="579" t="s">
        <v>244</v>
      </c>
    </row>
    <row r="8" spans="1:5" s="81" customFormat="1" ht="17.25" customHeight="1">
      <c r="A8" s="582"/>
      <c r="B8" s="582"/>
      <c r="C8" s="580"/>
      <c r="D8" s="582"/>
      <c r="E8" s="580"/>
    </row>
    <row r="9" spans="1:5" s="81" customFormat="1" ht="17.25" customHeight="1">
      <c r="A9" s="90">
        <v>2000</v>
      </c>
      <c r="B9" s="91">
        <v>350</v>
      </c>
      <c r="C9" s="97">
        <v>65949320</v>
      </c>
      <c r="D9" s="98">
        <v>46</v>
      </c>
      <c r="E9" s="99">
        <v>14598900</v>
      </c>
    </row>
    <row r="10" spans="1:5" s="81" customFormat="1" ht="17.25" customHeight="1">
      <c r="A10" s="90">
        <v>2001</v>
      </c>
      <c r="B10" s="91">
        <v>352</v>
      </c>
      <c r="C10" s="97">
        <v>67556720</v>
      </c>
      <c r="D10" s="98">
        <v>47</v>
      </c>
      <c r="E10" s="99">
        <v>15549400</v>
      </c>
    </row>
    <row r="11" spans="1:5" s="81" customFormat="1" ht="17.25" customHeight="1">
      <c r="A11" s="90">
        <v>2002</v>
      </c>
      <c r="B11" s="91">
        <v>362</v>
      </c>
      <c r="C11" s="97">
        <v>71348520</v>
      </c>
      <c r="D11" s="98">
        <v>47</v>
      </c>
      <c r="E11" s="99">
        <v>16143400</v>
      </c>
    </row>
    <row r="12" spans="1:5" s="81" customFormat="1" ht="17.25" customHeight="1">
      <c r="A12" s="90">
        <v>2003</v>
      </c>
      <c r="B12" s="91">
        <v>370</v>
      </c>
      <c r="C12" s="97">
        <v>75578920</v>
      </c>
      <c r="D12" s="98">
        <v>47</v>
      </c>
      <c r="E12" s="99">
        <v>16375000</v>
      </c>
    </row>
    <row r="13" spans="1:5" s="81" customFormat="1" ht="17.25" customHeight="1">
      <c r="A13" s="90">
        <v>2004</v>
      </c>
      <c r="B13" s="91">
        <v>381</v>
      </c>
      <c r="C13" s="97">
        <v>79740600</v>
      </c>
      <c r="D13" s="98">
        <v>48</v>
      </c>
      <c r="E13" s="99">
        <v>16661900</v>
      </c>
    </row>
    <row r="14" spans="1:5" s="81" customFormat="1" ht="17.25" customHeight="1">
      <c r="A14" s="90">
        <v>2005</v>
      </c>
      <c r="B14" s="91">
        <v>395</v>
      </c>
      <c r="C14" s="97">
        <v>84114400</v>
      </c>
      <c r="D14" s="98">
        <v>48</v>
      </c>
      <c r="E14" s="99">
        <v>17307400</v>
      </c>
    </row>
    <row r="15" spans="1:5" s="81" customFormat="1" ht="17.25" customHeight="1">
      <c r="A15" s="90">
        <v>2006</v>
      </c>
      <c r="B15" s="91">
        <v>397</v>
      </c>
      <c r="C15" s="97">
        <v>86243600</v>
      </c>
      <c r="D15" s="98">
        <v>51</v>
      </c>
      <c r="E15" s="99">
        <v>18506400</v>
      </c>
    </row>
    <row r="16" spans="1:5" s="81" customFormat="1" ht="17.25" customHeight="1">
      <c r="A16" s="92" t="s">
        <v>94</v>
      </c>
      <c r="B16" s="91">
        <v>406</v>
      </c>
      <c r="C16" s="97">
        <v>89282800</v>
      </c>
      <c r="D16" s="98">
        <v>52</v>
      </c>
      <c r="E16" s="99">
        <v>19192200</v>
      </c>
    </row>
    <row r="17" spans="1:5" s="81" customFormat="1" ht="17.25" customHeight="1">
      <c r="A17" s="90">
        <v>2008</v>
      </c>
      <c r="B17" s="91">
        <v>410</v>
      </c>
      <c r="C17" s="97">
        <v>92499200</v>
      </c>
      <c r="D17" s="98">
        <v>52</v>
      </c>
      <c r="E17" s="99">
        <v>19400200</v>
      </c>
    </row>
    <row r="18" spans="1:5" s="81" customFormat="1" ht="17.25" customHeight="1">
      <c r="A18" s="91">
        <v>2009</v>
      </c>
      <c r="B18" s="93">
        <v>416</v>
      </c>
      <c r="C18" s="97">
        <v>95538600</v>
      </c>
      <c r="D18" s="98">
        <v>51</v>
      </c>
      <c r="E18" s="99">
        <v>22802200</v>
      </c>
    </row>
    <row r="19" spans="1:5" s="81" customFormat="1" ht="17.25" customHeight="1">
      <c r="A19" s="91">
        <v>2010</v>
      </c>
      <c r="B19" s="93">
        <v>421</v>
      </c>
      <c r="C19" s="100">
        <v>97380600</v>
      </c>
      <c r="D19" s="98">
        <v>51</v>
      </c>
      <c r="E19" s="99">
        <v>22886200</v>
      </c>
    </row>
    <row r="20" spans="1:5" s="81" customFormat="1" ht="17.25" customHeight="1">
      <c r="A20" s="91">
        <v>2011</v>
      </c>
      <c r="B20" s="93">
        <v>426</v>
      </c>
      <c r="C20" s="100">
        <v>99852400</v>
      </c>
      <c r="D20" s="98">
        <v>56</v>
      </c>
      <c r="E20" s="99">
        <v>24967900</v>
      </c>
    </row>
    <row r="21" spans="1:5" s="81" customFormat="1" ht="17.25" customHeight="1">
      <c r="A21" s="91">
        <v>2012</v>
      </c>
      <c r="B21" s="93">
        <v>432</v>
      </c>
      <c r="C21" s="100">
        <v>102342400</v>
      </c>
      <c r="D21" s="98">
        <v>56</v>
      </c>
      <c r="E21" s="99">
        <v>25554700</v>
      </c>
    </row>
    <row r="22" spans="1:5" s="81" customFormat="1" ht="17.25" customHeight="1">
      <c r="A22" s="91">
        <v>2013</v>
      </c>
      <c r="B22" s="93">
        <v>434</v>
      </c>
      <c r="C22" s="100">
        <v>104090400</v>
      </c>
      <c r="D22" s="98">
        <v>58</v>
      </c>
      <c r="E22" s="99">
        <v>26146700</v>
      </c>
    </row>
    <row r="23" spans="1:5" s="81" customFormat="1" ht="17.25" customHeight="1">
      <c r="A23" s="90">
        <v>2014</v>
      </c>
      <c r="B23" s="93">
        <v>443</v>
      </c>
      <c r="C23" s="100">
        <v>106708400</v>
      </c>
      <c r="D23" s="98">
        <v>57</v>
      </c>
      <c r="E23" s="99">
        <v>27051200</v>
      </c>
    </row>
    <row r="24" spans="1:5" s="81" customFormat="1" ht="17.25" customHeight="1">
      <c r="A24" s="93">
        <v>2015</v>
      </c>
      <c r="B24" s="93">
        <v>445</v>
      </c>
      <c r="C24" s="101">
        <v>108396400</v>
      </c>
      <c r="D24" s="102">
        <v>55</v>
      </c>
      <c r="E24" s="61">
        <v>26948000</v>
      </c>
    </row>
    <row r="25" spans="1:5" s="81" customFormat="1" ht="17.25" customHeight="1">
      <c r="A25" s="93">
        <v>2016</v>
      </c>
      <c r="B25" s="93">
        <v>453</v>
      </c>
      <c r="C25" s="101">
        <v>110326200</v>
      </c>
      <c r="D25" s="102">
        <v>52</v>
      </c>
      <c r="E25" s="102">
        <v>26261200</v>
      </c>
    </row>
    <row r="26" spans="1:5" s="81" customFormat="1" ht="17.25" customHeight="1">
      <c r="A26" s="93">
        <v>2017</v>
      </c>
      <c r="B26" s="93">
        <v>454</v>
      </c>
      <c r="C26" s="101">
        <v>112187800</v>
      </c>
      <c r="D26" s="102">
        <v>53</v>
      </c>
      <c r="E26" s="102">
        <v>27328200</v>
      </c>
    </row>
    <row r="27" spans="1:5" s="81" customFormat="1" ht="17.25" customHeight="1">
      <c r="A27" s="93">
        <v>2018</v>
      </c>
      <c r="B27" s="93">
        <v>451</v>
      </c>
      <c r="C27" s="101">
        <v>112422000</v>
      </c>
      <c r="D27" s="102">
        <v>50</v>
      </c>
      <c r="E27" s="102">
        <v>26241200</v>
      </c>
    </row>
    <row r="28" spans="1:5" s="81" customFormat="1" ht="17.25" customHeight="1">
      <c r="A28" s="93">
        <v>2019</v>
      </c>
      <c r="B28" s="93">
        <v>452</v>
      </c>
      <c r="C28" s="101">
        <v>112905000</v>
      </c>
      <c r="D28" s="102">
        <v>51</v>
      </c>
      <c r="E28" s="102">
        <v>26628200</v>
      </c>
    </row>
    <row r="29" spans="1:5" s="81" customFormat="1" ht="17.25" customHeight="1">
      <c r="A29" s="94">
        <v>2020</v>
      </c>
      <c r="B29" s="94">
        <v>457</v>
      </c>
      <c r="C29" s="344">
        <v>116811750</v>
      </c>
      <c r="D29" s="345">
        <v>50</v>
      </c>
      <c r="E29" s="345">
        <v>25353200</v>
      </c>
    </row>
    <row r="30" spans="1:5" s="10" customFormat="1" ht="17.25" customHeight="1">
      <c r="A30" s="29" t="s">
        <v>68</v>
      </c>
      <c r="E30" s="29"/>
    </row>
  </sheetData>
  <mergeCells count="10">
    <mergeCell ref="C7:C8"/>
    <mergeCell ref="D7:D8"/>
    <mergeCell ref="E7:E8"/>
    <mergeCell ref="A2:E2"/>
    <mergeCell ref="A3:E3"/>
    <mergeCell ref="A4:E4"/>
    <mergeCell ref="A6:A8"/>
    <mergeCell ref="B6:C6"/>
    <mergeCell ref="D6:E6"/>
    <mergeCell ref="B7:B8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1" manualBreakCount="1">
    <brk id="30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view="pageBreakPreview" zoomScaleNormal="100" zoomScaleSheetLayoutView="100" workbookViewId="0">
      <selection activeCell="H38" sqref="H38"/>
    </sheetView>
  </sheetViews>
  <sheetFormatPr defaultColWidth="9.6640625" defaultRowHeight="17.25" customHeight="1"/>
  <cols>
    <col min="1" max="1" width="12.1640625" style="112" customWidth="1"/>
    <col min="2" max="2" width="22.6640625" style="112" customWidth="1"/>
    <col min="3" max="3" width="22.1640625" style="112" customWidth="1"/>
    <col min="4" max="4" width="28.1640625" style="112" customWidth="1"/>
    <col min="5" max="5" width="30.1640625" style="112" customWidth="1"/>
    <col min="6" max="6" width="11.1640625" style="56" customWidth="1"/>
    <col min="7" max="13" width="9.6640625" style="56" customWidth="1"/>
    <col min="14" max="14" width="10.6640625" style="56" customWidth="1"/>
    <col min="15" max="15" width="19.5" style="56" customWidth="1"/>
    <col min="16" max="16384" width="9.6640625" style="56"/>
  </cols>
  <sheetData>
    <row r="1" spans="1:16" s="10" customFormat="1" ht="17.25" customHeight="1">
      <c r="A1" s="16"/>
      <c r="B1" s="16"/>
      <c r="C1" s="16"/>
      <c r="D1" s="16"/>
      <c r="E1" s="16"/>
    </row>
    <row r="2" spans="1:16" s="10" customFormat="1" ht="17.25" customHeight="1">
      <c r="A2" s="565" t="s">
        <v>210</v>
      </c>
      <c r="B2" s="565"/>
      <c r="C2" s="565"/>
      <c r="D2" s="565"/>
      <c r="E2" s="565"/>
      <c r="F2" s="11"/>
      <c r="G2" s="11"/>
      <c r="H2" s="11"/>
      <c r="I2" s="11"/>
      <c r="J2" s="11"/>
      <c r="K2" s="11"/>
      <c r="L2" s="11"/>
      <c r="M2" s="11"/>
      <c r="N2" s="28"/>
    </row>
    <row r="3" spans="1:16" s="10" customFormat="1" ht="17.25" customHeight="1">
      <c r="A3" s="565" t="s">
        <v>263</v>
      </c>
      <c r="B3" s="565"/>
      <c r="C3" s="565"/>
      <c r="D3" s="565"/>
      <c r="E3" s="565"/>
      <c r="F3" s="11"/>
      <c r="G3" s="11"/>
      <c r="H3" s="11"/>
      <c r="I3" s="11"/>
      <c r="J3" s="11"/>
      <c r="K3" s="11"/>
      <c r="L3" s="11"/>
      <c r="M3" s="11"/>
      <c r="N3" s="28"/>
    </row>
    <row r="4" spans="1:16" s="10" customFormat="1" ht="17.25" customHeight="1">
      <c r="A4" s="565" t="s">
        <v>71</v>
      </c>
      <c r="B4" s="565"/>
      <c r="C4" s="565"/>
      <c r="D4" s="565"/>
      <c r="E4" s="565"/>
      <c r="F4" s="11"/>
      <c r="G4" s="11"/>
      <c r="H4" s="11"/>
      <c r="I4" s="11"/>
      <c r="J4" s="11"/>
      <c r="K4" s="11"/>
      <c r="L4" s="11"/>
      <c r="M4" s="11"/>
      <c r="N4" s="28"/>
    </row>
    <row r="5" spans="1:16" s="10" customFormat="1" ht="17.25" customHeight="1">
      <c r="A5" s="477"/>
      <c r="B5" s="477"/>
      <c r="C5" s="477"/>
      <c r="D5" s="477"/>
      <c r="E5" s="477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</row>
    <row r="6" spans="1:16" s="10" customFormat="1" ht="30">
      <c r="A6" s="14" t="s">
        <v>60</v>
      </c>
      <c r="B6" s="312" t="s">
        <v>315</v>
      </c>
      <c r="C6" s="14" t="s">
        <v>261</v>
      </c>
      <c r="D6" s="312" t="s">
        <v>316</v>
      </c>
      <c r="E6" s="14" t="s">
        <v>262</v>
      </c>
      <c r="F6" s="11"/>
      <c r="G6" s="11"/>
      <c r="H6" s="11"/>
      <c r="I6" s="11"/>
      <c r="J6" s="11"/>
      <c r="K6" s="11"/>
      <c r="L6" s="11"/>
      <c r="N6" s="11"/>
    </row>
    <row r="7" spans="1:16" s="10" customFormat="1" ht="17.25" hidden="1" customHeight="1">
      <c r="A7" s="167">
        <v>1981</v>
      </c>
      <c r="B7" s="106">
        <v>964</v>
      </c>
      <c r="C7" s="106">
        <v>534</v>
      </c>
      <c r="D7" s="105">
        <v>1127</v>
      </c>
      <c r="E7" s="313">
        <v>8.92</v>
      </c>
      <c r="F7" s="11"/>
      <c r="G7" s="11"/>
      <c r="H7" s="11"/>
      <c r="I7" s="11"/>
      <c r="J7" s="11"/>
      <c r="K7" s="11"/>
      <c r="L7" s="11"/>
      <c r="N7" s="11"/>
    </row>
    <row r="8" spans="1:16" s="10" customFormat="1" ht="17.25" hidden="1" customHeight="1">
      <c r="A8" s="167">
        <v>1982</v>
      </c>
      <c r="B8" s="106">
        <v>829</v>
      </c>
      <c r="C8" s="106">
        <v>426.5</v>
      </c>
      <c r="D8" s="105">
        <v>890</v>
      </c>
      <c r="E8" s="313">
        <v>7.32</v>
      </c>
      <c r="F8" s="11"/>
      <c r="G8" s="11"/>
      <c r="H8" s="11"/>
      <c r="I8" s="11"/>
      <c r="J8" s="11"/>
      <c r="K8" s="11"/>
      <c r="L8" s="11"/>
      <c r="N8" s="11"/>
    </row>
    <row r="9" spans="1:16" s="10" customFormat="1" ht="17.25" hidden="1" customHeight="1">
      <c r="A9" s="167">
        <v>1983</v>
      </c>
      <c r="B9" s="106">
        <v>991</v>
      </c>
      <c r="C9" s="106">
        <v>678</v>
      </c>
      <c r="D9" s="105">
        <v>1428.5</v>
      </c>
      <c r="E9" s="313">
        <v>9.1999999999999993</v>
      </c>
      <c r="F9" s="11"/>
      <c r="G9" s="11"/>
      <c r="H9" s="11"/>
      <c r="I9" s="11"/>
      <c r="J9" s="11"/>
      <c r="K9" s="11"/>
      <c r="L9" s="11"/>
      <c r="N9" s="11"/>
    </row>
    <row r="10" spans="1:16" s="10" customFormat="1" ht="17.25" hidden="1" customHeight="1">
      <c r="A10" s="167">
        <v>1984</v>
      </c>
      <c r="B10" s="106">
        <v>1407.5</v>
      </c>
      <c r="C10" s="106">
        <v>918</v>
      </c>
      <c r="D10" s="105">
        <v>2108.5</v>
      </c>
      <c r="E10" s="313">
        <v>13.18</v>
      </c>
      <c r="F10" s="11"/>
      <c r="G10" s="11"/>
      <c r="H10" s="11"/>
      <c r="I10" s="11"/>
      <c r="J10" s="11"/>
      <c r="K10" s="11"/>
      <c r="L10" s="11"/>
      <c r="N10" s="11"/>
    </row>
    <row r="11" spans="1:16" s="10" customFormat="1" ht="17.25" hidden="1" customHeight="1">
      <c r="A11" s="167">
        <v>1985</v>
      </c>
      <c r="B11" s="106">
        <v>1045.5</v>
      </c>
      <c r="C11" s="106">
        <v>534</v>
      </c>
      <c r="D11" s="105">
        <v>1154.5</v>
      </c>
      <c r="E11" s="313">
        <v>9.3800000000000008</v>
      </c>
      <c r="F11" s="11"/>
      <c r="G11" s="11"/>
      <c r="H11" s="11"/>
      <c r="I11" s="11"/>
      <c r="J11" s="11"/>
      <c r="K11" s="11"/>
      <c r="L11" s="11"/>
      <c r="N11" s="11"/>
    </row>
    <row r="12" spans="1:16" s="10" customFormat="1" ht="17.25" hidden="1" customHeight="1">
      <c r="A12" s="167">
        <v>1986</v>
      </c>
      <c r="B12" s="106">
        <v>578.5</v>
      </c>
      <c r="C12" s="106">
        <v>323</v>
      </c>
      <c r="D12" s="105">
        <v>578</v>
      </c>
      <c r="E12" s="313">
        <v>4.66</v>
      </c>
      <c r="F12" s="11"/>
      <c r="G12" s="11"/>
      <c r="H12" s="11"/>
      <c r="I12" s="11"/>
      <c r="J12" s="11"/>
      <c r="K12" s="11"/>
      <c r="L12" s="11"/>
      <c r="N12" s="11"/>
    </row>
    <row r="13" spans="1:16" s="10" customFormat="1" ht="17.25" hidden="1" customHeight="1">
      <c r="A13" s="167">
        <v>1987</v>
      </c>
      <c r="B13" s="106">
        <v>773</v>
      </c>
      <c r="C13" s="106">
        <v>462.5</v>
      </c>
      <c r="D13" s="105">
        <v>908.5</v>
      </c>
      <c r="E13" s="313">
        <v>6.95</v>
      </c>
      <c r="F13" s="11"/>
      <c r="G13" s="11"/>
      <c r="H13" s="11"/>
      <c r="I13" s="11"/>
      <c r="J13" s="11"/>
      <c r="K13" s="11"/>
      <c r="L13" s="11"/>
      <c r="N13" s="11"/>
    </row>
    <row r="14" spans="1:16" s="10" customFormat="1" ht="17.25" hidden="1" customHeight="1">
      <c r="A14" s="167">
        <v>1988</v>
      </c>
      <c r="B14" s="106">
        <v>1029</v>
      </c>
      <c r="C14" s="106">
        <v>621</v>
      </c>
      <c r="D14" s="105">
        <v>1210.5</v>
      </c>
      <c r="E14" s="313">
        <v>9.4499999999999993</v>
      </c>
      <c r="F14" s="11"/>
      <c r="G14" s="11"/>
      <c r="H14" s="11"/>
      <c r="I14" s="11"/>
      <c r="J14" s="11"/>
      <c r="K14" s="11"/>
      <c r="L14" s="11"/>
      <c r="N14" s="11"/>
    </row>
    <row r="15" spans="1:16" s="10" customFormat="1" ht="17.25" hidden="1" customHeight="1">
      <c r="A15" s="167">
        <v>1989</v>
      </c>
      <c r="B15" s="106">
        <v>822</v>
      </c>
      <c r="C15" s="106">
        <v>550</v>
      </c>
      <c r="D15" s="105">
        <v>1083.5</v>
      </c>
      <c r="E15" s="313">
        <v>8.19</v>
      </c>
      <c r="F15" s="11"/>
      <c r="G15" s="11"/>
      <c r="H15" s="11"/>
      <c r="I15" s="11"/>
      <c r="J15" s="11"/>
      <c r="K15" s="11"/>
      <c r="L15" s="11"/>
      <c r="N15" s="11"/>
    </row>
    <row r="16" spans="1:16" s="10" customFormat="1" ht="17.25" hidden="1" customHeight="1">
      <c r="A16" s="167">
        <v>1990</v>
      </c>
      <c r="B16" s="106">
        <v>700.5</v>
      </c>
      <c r="C16" s="106">
        <v>394.5</v>
      </c>
      <c r="D16" s="105">
        <v>763</v>
      </c>
      <c r="E16" s="313">
        <v>6.14</v>
      </c>
      <c r="F16" s="11"/>
      <c r="G16" s="11"/>
      <c r="H16" s="11"/>
      <c r="I16" s="11"/>
      <c r="J16" s="11"/>
      <c r="K16" s="11"/>
      <c r="L16" s="11"/>
      <c r="N16" s="11"/>
    </row>
    <row r="17" spans="1:15" s="10" customFormat="1" ht="17.25" hidden="1" customHeight="1">
      <c r="A17" s="167">
        <v>1991</v>
      </c>
      <c r="B17" s="106">
        <v>836.5</v>
      </c>
      <c r="C17" s="106">
        <v>511</v>
      </c>
      <c r="D17" s="105">
        <v>974.5</v>
      </c>
      <c r="E17" s="313">
        <v>7.6</v>
      </c>
      <c r="F17" s="11"/>
      <c r="G17" s="11"/>
      <c r="H17" s="11"/>
      <c r="I17" s="11"/>
      <c r="J17" s="11"/>
      <c r="K17" s="11"/>
      <c r="L17" s="11"/>
      <c r="N17" s="11"/>
    </row>
    <row r="18" spans="1:15" s="10" customFormat="1" ht="17.25" hidden="1" customHeight="1">
      <c r="A18" s="167">
        <v>1992</v>
      </c>
      <c r="B18" s="106">
        <v>916.5</v>
      </c>
      <c r="C18" s="106">
        <v>657.5</v>
      </c>
      <c r="D18" s="105">
        <v>1342.5</v>
      </c>
      <c r="E18" s="313">
        <v>8.48</v>
      </c>
      <c r="F18" s="11"/>
      <c r="G18" s="11"/>
      <c r="H18" s="11"/>
      <c r="I18" s="11"/>
      <c r="J18" s="11"/>
      <c r="K18" s="11"/>
      <c r="L18" s="11"/>
      <c r="N18" s="11"/>
    </row>
    <row r="19" spans="1:15" s="10" customFormat="1" ht="17.25" hidden="1" customHeight="1">
      <c r="A19" s="167">
        <v>1993</v>
      </c>
      <c r="B19" s="106">
        <v>890</v>
      </c>
      <c r="C19" s="106">
        <v>462.5</v>
      </c>
      <c r="D19" s="105">
        <v>958.5</v>
      </c>
      <c r="E19" s="313">
        <v>7.7</v>
      </c>
      <c r="F19" s="11"/>
      <c r="G19" s="11"/>
      <c r="H19" s="11"/>
      <c r="I19" s="11"/>
      <c r="J19" s="11"/>
      <c r="K19" s="11"/>
      <c r="L19" s="11"/>
      <c r="N19" s="11"/>
    </row>
    <row r="20" spans="1:15" s="10" customFormat="1" ht="17.25" hidden="1" customHeight="1">
      <c r="A20" s="167">
        <v>1994</v>
      </c>
      <c r="B20" s="106">
        <v>1283.5</v>
      </c>
      <c r="C20" s="106">
        <v>716.5</v>
      </c>
      <c r="D20" s="105">
        <v>1533</v>
      </c>
      <c r="E20" s="313">
        <v>11.64</v>
      </c>
      <c r="F20" s="11"/>
      <c r="G20" s="11"/>
      <c r="H20" s="11"/>
      <c r="I20" s="11"/>
      <c r="J20" s="11"/>
      <c r="K20" s="11"/>
      <c r="L20" s="11"/>
      <c r="N20" s="11"/>
    </row>
    <row r="21" spans="1:15" s="10" customFormat="1" ht="17.25" hidden="1" customHeight="1">
      <c r="A21" s="314">
        <v>1995</v>
      </c>
      <c r="B21" s="106">
        <v>1472.5</v>
      </c>
      <c r="C21" s="106">
        <v>737</v>
      </c>
      <c r="D21" s="105">
        <v>1583</v>
      </c>
      <c r="E21" s="313">
        <v>13.89</v>
      </c>
      <c r="F21" s="28"/>
      <c r="G21" s="28"/>
      <c r="H21" s="28"/>
      <c r="I21" s="124"/>
      <c r="J21" s="28"/>
      <c r="K21" s="124"/>
      <c r="L21" s="28"/>
      <c r="M21" s="28"/>
      <c r="O21" s="125"/>
    </row>
    <row r="22" spans="1:15" s="10" customFormat="1" ht="17.25" hidden="1" customHeight="1">
      <c r="A22" s="315" t="s">
        <v>8</v>
      </c>
      <c r="B22" s="106">
        <v>1191.5</v>
      </c>
      <c r="C22" s="106">
        <v>806.5</v>
      </c>
      <c r="D22" s="105">
        <v>1686.5</v>
      </c>
      <c r="E22" s="313">
        <v>11.89</v>
      </c>
      <c r="F22" s="28"/>
      <c r="G22" s="28"/>
      <c r="H22" s="28"/>
      <c r="I22" s="124"/>
      <c r="J22" s="28"/>
      <c r="K22" s="124"/>
      <c r="L22" s="28"/>
      <c r="M22" s="28"/>
      <c r="N22" s="28"/>
    </row>
    <row r="23" spans="1:15" s="10" customFormat="1" ht="17.25" hidden="1" customHeight="1">
      <c r="A23" s="315" t="s">
        <v>9</v>
      </c>
      <c r="B23" s="106">
        <v>1358</v>
      </c>
      <c r="C23" s="106">
        <v>756.5</v>
      </c>
      <c r="D23" s="105">
        <v>1721</v>
      </c>
      <c r="E23" s="313">
        <v>13.91</v>
      </c>
      <c r="F23" s="28"/>
      <c r="G23" s="28"/>
      <c r="H23" s="28"/>
      <c r="I23" s="124"/>
      <c r="J23" s="28"/>
      <c r="K23" s="124"/>
      <c r="L23" s="28"/>
      <c r="M23" s="28"/>
      <c r="N23" s="28"/>
    </row>
    <row r="24" spans="1:15" s="10" customFormat="1" ht="17.25" hidden="1" customHeight="1">
      <c r="A24" s="315" t="s">
        <v>10</v>
      </c>
      <c r="B24" s="106">
        <v>2377.5</v>
      </c>
      <c r="C24" s="106">
        <v>1115.5</v>
      </c>
      <c r="D24" s="105">
        <v>2525.5</v>
      </c>
      <c r="E24" s="313">
        <v>23.99</v>
      </c>
      <c r="F24" s="28"/>
      <c r="G24" s="28"/>
      <c r="H24" s="28"/>
      <c r="I24" s="124"/>
      <c r="J24" s="28"/>
      <c r="K24" s="124"/>
      <c r="L24" s="28"/>
      <c r="M24" s="126"/>
      <c r="N24" s="23"/>
    </row>
    <row r="25" spans="1:15" s="10" customFormat="1" ht="17.25" hidden="1" customHeight="1">
      <c r="A25" s="315" t="s">
        <v>11</v>
      </c>
      <c r="B25" s="106">
        <v>1449.5</v>
      </c>
      <c r="C25" s="106">
        <v>1069.5</v>
      </c>
      <c r="D25" s="105">
        <v>2439</v>
      </c>
      <c r="E25" s="313">
        <v>15.3</v>
      </c>
      <c r="F25" s="28"/>
      <c r="G25" s="28"/>
      <c r="H25" s="28"/>
      <c r="I25" s="124"/>
      <c r="J25" s="28"/>
      <c r="K25" s="124"/>
      <c r="L25" s="28"/>
      <c r="M25" s="107"/>
      <c r="N25" s="23"/>
    </row>
    <row r="26" spans="1:15" s="10" customFormat="1" ht="17.25" customHeight="1">
      <c r="A26" s="314">
        <v>2000</v>
      </c>
      <c r="B26" s="108">
        <v>996.5</v>
      </c>
      <c r="C26" s="108">
        <v>706.5</v>
      </c>
      <c r="D26" s="108">
        <v>1707.5</v>
      </c>
      <c r="E26" s="316">
        <v>9.7899999999999991</v>
      </c>
      <c r="F26" s="28"/>
      <c r="G26" s="28"/>
      <c r="H26" s="28"/>
      <c r="I26" s="124"/>
      <c r="J26" s="28"/>
      <c r="K26" s="124"/>
      <c r="L26" s="28"/>
      <c r="M26" s="29"/>
      <c r="N26" s="23"/>
    </row>
    <row r="27" spans="1:15" s="10" customFormat="1" ht="17.25" customHeight="1">
      <c r="A27" s="315" t="s">
        <v>13</v>
      </c>
      <c r="B27" s="108">
        <v>894.5</v>
      </c>
      <c r="C27" s="108">
        <v>447.5</v>
      </c>
      <c r="D27" s="108">
        <v>1009.5</v>
      </c>
      <c r="E27" s="316">
        <v>8.11</v>
      </c>
      <c r="F27" s="28"/>
      <c r="G27" s="28"/>
      <c r="H27" s="28"/>
      <c r="I27" s="124"/>
      <c r="J27" s="28"/>
      <c r="K27" s="124"/>
      <c r="L27" s="28"/>
      <c r="M27" s="29"/>
      <c r="N27" s="23"/>
    </row>
    <row r="28" spans="1:15" s="10" customFormat="1" ht="17.25" customHeight="1">
      <c r="A28" s="315">
        <v>2002</v>
      </c>
      <c r="B28" s="108">
        <v>1363.5</v>
      </c>
      <c r="C28" s="108">
        <v>661</v>
      </c>
      <c r="D28" s="108">
        <v>1409.5</v>
      </c>
      <c r="E28" s="316">
        <v>13.19</v>
      </c>
      <c r="F28" s="28"/>
      <c r="G28" s="28"/>
      <c r="H28" s="28"/>
      <c r="I28" s="124"/>
      <c r="J28" s="28"/>
      <c r="K28" s="124"/>
      <c r="L28" s="28"/>
      <c r="M28" s="29"/>
      <c r="N28" s="23"/>
    </row>
    <row r="29" spans="1:15" s="10" customFormat="1" ht="17.25" customHeight="1">
      <c r="A29" s="315">
        <v>2003</v>
      </c>
      <c r="B29" s="108">
        <v>1544</v>
      </c>
      <c r="C29" s="108">
        <v>732</v>
      </c>
      <c r="D29" s="108">
        <v>1585</v>
      </c>
      <c r="E29" s="316">
        <v>15.62</v>
      </c>
      <c r="F29" s="28"/>
      <c r="G29" s="28"/>
      <c r="H29" s="28"/>
      <c r="I29" s="124"/>
      <c r="J29" s="28"/>
      <c r="K29" s="124"/>
      <c r="L29" s="28"/>
      <c r="M29" s="109"/>
      <c r="N29" s="23"/>
    </row>
    <row r="30" spans="1:15" s="10" customFormat="1" ht="17.25" customHeight="1">
      <c r="A30" s="315">
        <v>2004</v>
      </c>
      <c r="B30" s="108">
        <v>1610</v>
      </c>
      <c r="C30" s="108">
        <v>1063</v>
      </c>
      <c r="D30" s="108">
        <v>2306</v>
      </c>
      <c r="E30" s="316">
        <v>17.260000000000002</v>
      </c>
      <c r="F30" s="28"/>
      <c r="G30" s="28"/>
      <c r="H30" s="28"/>
      <c r="I30" s="124"/>
      <c r="J30" s="28"/>
      <c r="K30" s="124"/>
      <c r="L30" s="28"/>
      <c r="M30" s="109"/>
      <c r="N30" s="23"/>
    </row>
    <row r="31" spans="1:15" s="10" customFormat="1" ht="17.25" customHeight="1">
      <c r="A31" s="315">
        <v>2005</v>
      </c>
      <c r="B31" s="108">
        <v>1394</v>
      </c>
      <c r="C31" s="108">
        <v>1017</v>
      </c>
      <c r="D31" s="108">
        <v>2183</v>
      </c>
      <c r="E31" s="316">
        <v>14.55</v>
      </c>
      <c r="F31" s="28"/>
      <c r="G31" s="28"/>
      <c r="H31" s="28"/>
      <c r="I31" s="124"/>
      <c r="J31" s="28"/>
      <c r="K31" s="124"/>
      <c r="L31" s="28"/>
      <c r="M31" s="109"/>
      <c r="N31" s="23"/>
    </row>
    <row r="32" spans="1:15" s="10" customFormat="1" ht="17.25" customHeight="1">
      <c r="A32" s="317">
        <v>2006</v>
      </c>
      <c r="B32" s="108">
        <v>1510.5</v>
      </c>
      <c r="C32" s="108">
        <v>892</v>
      </c>
      <c r="D32" s="108">
        <v>1907.5</v>
      </c>
      <c r="E32" s="316">
        <v>15.4</v>
      </c>
      <c r="F32" s="28"/>
      <c r="G32" s="28"/>
      <c r="H32" s="28"/>
      <c r="I32" s="124"/>
      <c r="J32" s="28"/>
      <c r="K32" s="124"/>
      <c r="L32" s="28"/>
      <c r="M32" s="109"/>
      <c r="N32" s="23"/>
    </row>
    <row r="33" spans="1:14" s="10" customFormat="1" ht="17.25" customHeight="1">
      <c r="A33" s="317">
        <v>2007</v>
      </c>
      <c r="B33" s="108">
        <v>2530.5</v>
      </c>
      <c r="C33" s="108">
        <v>1461.5</v>
      </c>
      <c r="D33" s="108">
        <v>2807.5</v>
      </c>
      <c r="E33" s="316">
        <v>26.07</v>
      </c>
      <c r="F33" s="28"/>
      <c r="G33" s="28"/>
      <c r="H33" s="28"/>
      <c r="I33" s="124"/>
      <c r="J33" s="28"/>
      <c r="K33" s="124"/>
      <c r="L33" s="28"/>
      <c r="M33" s="109"/>
      <c r="N33" s="23"/>
    </row>
    <row r="34" spans="1:14" s="10" customFormat="1" ht="17.25" customHeight="1">
      <c r="A34" s="317">
        <v>2008</v>
      </c>
      <c r="B34" s="110">
        <v>2777.5</v>
      </c>
      <c r="C34" s="110">
        <v>1647</v>
      </c>
      <c r="D34" s="110">
        <v>3437</v>
      </c>
      <c r="E34" s="318">
        <v>30.16</v>
      </c>
      <c r="F34" s="28"/>
      <c r="G34" s="28"/>
      <c r="H34" s="28"/>
      <c r="I34" s="28"/>
      <c r="J34" s="28"/>
      <c r="K34" s="28"/>
      <c r="L34" s="28"/>
      <c r="M34" s="29"/>
      <c r="N34" s="23"/>
    </row>
    <row r="35" spans="1:14" s="10" customFormat="1" ht="17.25" customHeight="1">
      <c r="A35" s="317">
        <v>2009</v>
      </c>
      <c r="B35" s="110">
        <v>2244.5</v>
      </c>
      <c r="C35" s="110">
        <v>1070</v>
      </c>
      <c r="D35" s="110">
        <v>2341.5</v>
      </c>
      <c r="E35" s="318">
        <v>22.62</v>
      </c>
      <c r="F35" s="28"/>
      <c r="G35" s="28"/>
      <c r="H35" s="28"/>
      <c r="I35" s="28"/>
      <c r="J35" s="28"/>
      <c r="K35" s="28"/>
      <c r="L35" s="28"/>
      <c r="M35" s="29"/>
      <c r="N35" s="23"/>
    </row>
    <row r="36" spans="1:14" s="10" customFormat="1" ht="17.25" customHeight="1">
      <c r="A36" s="317">
        <v>2010</v>
      </c>
      <c r="B36" s="110">
        <v>2701</v>
      </c>
      <c r="C36" s="110">
        <v>1735.5</v>
      </c>
      <c r="D36" s="110">
        <v>3637</v>
      </c>
      <c r="E36" s="318">
        <v>29.48</v>
      </c>
      <c r="F36" s="28"/>
      <c r="G36" s="28"/>
      <c r="H36" s="28"/>
      <c r="I36" s="28"/>
      <c r="J36" s="28"/>
      <c r="K36" s="28"/>
      <c r="L36" s="28"/>
      <c r="M36" s="29"/>
      <c r="N36" s="23"/>
    </row>
    <row r="37" spans="1:14" s="10" customFormat="1" ht="17.25" customHeight="1">
      <c r="A37" s="317">
        <v>2011</v>
      </c>
      <c r="B37" s="110">
        <v>3219</v>
      </c>
      <c r="C37" s="110">
        <v>2206</v>
      </c>
      <c r="D37" s="110">
        <v>4611</v>
      </c>
      <c r="E37" s="318">
        <v>36.28</v>
      </c>
      <c r="F37" s="28"/>
      <c r="G37" s="28"/>
      <c r="H37" s="28"/>
      <c r="I37" s="28"/>
      <c r="J37" s="28"/>
      <c r="K37" s="28"/>
      <c r="L37" s="28"/>
      <c r="M37" s="29"/>
      <c r="N37" s="23"/>
    </row>
    <row r="38" spans="1:14" s="10" customFormat="1" ht="17.25" customHeight="1">
      <c r="A38" s="317">
        <v>2012</v>
      </c>
      <c r="B38" s="108">
        <v>2764</v>
      </c>
      <c r="C38" s="108">
        <v>1522.5</v>
      </c>
      <c r="D38" s="108">
        <v>3249.5</v>
      </c>
      <c r="E38" s="316">
        <v>30.18</v>
      </c>
      <c r="F38" s="28"/>
      <c r="G38" s="28"/>
      <c r="H38" s="28"/>
      <c r="I38" s="28"/>
      <c r="J38" s="28"/>
      <c r="K38" s="28"/>
      <c r="L38" s="28"/>
      <c r="M38" s="29"/>
      <c r="N38" s="23"/>
    </row>
    <row r="39" spans="1:14" s="10" customFormat="1" ht="17.25" customHeight="1">
      <c r="A39" s="317">
        <v>2013</v>
      </c>
      <c r="B39" s="108">
        <v>2371</v>
      </c>
      <c r="C39" s="108">
        <v>1371.5</v>
      </c>
      <c r="D39" s="108">
        <v>2659.5</v>
      </c>
      <c r="E39" s="316">
        <v>24.39</v>
      </c>
      <c r="F39" s="28"/>
      <c r="G39" s="28"/>
      <c r="H39" s="28"/>
      <c r="I39" s="28"/>
      <c r="J39" s="28"/>
      <c r="K39" s="28"/>
      <c r="L39" s="28"/>
      <c r="M39" s="29"/>
      <c r="N39" s="23"/>
    </row>
    <row r="40" spans="1:14" s="10" customFormat="1" ht="17.25" customHeight="1">
      <c r="A40" s="317">
        <v>2014</v>
      </c>
      <c r="B40" s="108">
        <v>2383.5</v>
      </c>
      <c r="C40" s="108">
        <v>1670.5</v>
      </c>
      <c r="D40" s="108">
        <v>3497.5</v>
      </c>
      <c r="E40" s="316">
        <v>25.72</v>
      </c>
      <c r="F40" s="28"/>
      <c r="G40" s="28"/>
      <c r="H40" s="28"/>
      <c r="I40" s="28"/>
      <c r="J40" s="28"/>
      <c r="K40" s="28"/>
      <c r="L40" s="28"/>
      <c r="M40" s="29"/>
      <c r="N40" s="23"/>
    </row>
    <row r="41" spans="1:14" s="10" customFormat="1" ht="17.25" customHeight="1">
      <c r="A41" s="317">
        <v>2015</v>
      </c>
      <c r="B41" s="108">
        <v>2153.5</v>
      </c>
      <c r="C41" s="108">
        <v>1527.5</v>
      </c>
      <c r="D41" s="108">
        <v>3373</v>
      </c>
      <c r="E41" s="316">
        <v>22.96</v>
      </c>
      <c r="F41" s="28"/>
      <c r="G41" s="28"/>
      <c r="H41" s="28"/>
      <c r="I41" s="28"/>
      <c r="J41" s="28"/>
      <c r="K41" s="28"/>
      <c r="L41" s="28"/>
      <c r="M41" s="29"/>
      <c r="N41" s="23"/>
    </row>
    <row r="42" spans="1:14" s="10" customFormat="1" ht="17.25" customHeight="1">
      <c r="A42" s="317">
        <v>2016</v>
      </c>
      <c r="B42" s="108">
        <v>2653</v>
      </c>
      <c r="C42" s="108">
        <v>2611</v>
      </c>
      <c r="D42" s="108">
        <v>5492.5</v>
      </c>
      <c r="E42" s="316">
        <v>30.08</v>
      </c>
      <c r="F42" s="28"/>
      <c r="G42" s="28"/>
      <c r="H42" s="28"/>
      <c r="I42" s="28"/>
      <c r="J42" s="28"/>
      <c r="K42" s="28"/>
      <c r="L42" s="28"/>
      <c r="M42" s="29"/>
      <c r="N42" s="23"/>
    </row>
    <row r="43" spans="1:14" s="10" customFormat="1" ht="17.25" customHeight="1">
      <c r="A43" s="159">
        <v>2017</v>
      </c>
      <c r="B43" s="425">
        <v>2783</v>
      </c>
      <c r="C43" s="425">
        <v>2536</v>
      </c>
      <c r="D43" s="425">
        <v>5325</v>
      </c>
      <c r="E43" s="425">
        <v>31.54</v>
      </c>
      <c r="F43" s="28"/>
      <c r="G43" s="28"/>
      <c r="H43" s="28"/>
      <c r="I43" s="28"/>
      <c r="J43" s="28"/>
      <c r="K43" s="28"/>
      <c r="L43" s="28"/>
      <c r="M43" s="29"/>
      <c r="N43" s="23"/>
    </row>
    <row r="44" spans="1:14" s="10" customFormat="1" ht="17.25" customHeight="1">
      <c r="A44" s="159">
        <v>2018</v>
      </c>
      <c r="B44" s="425">
        <v>2232.5</v>
      </c>
      <c r="C44" s="425">
        <v>1827.5</v>
      </c>
      <c r="D44" s="425">
        <v>3734.5</v>
      </c>
      <c r="E44" s="425">
        <v>23.75</v>
      </c>
      <c r="F44" s="28"/>
      <c r="G44" s="28"/>
      <c r="H44" s="28"/>
      <c r="I44" s="28"/>
      <c r="J44" s="28"/>
      <c r="K44" s="28"/>
      <c r="L44" s="28"/>
      <c r="M44" s="29"/>
      <c r="N44" s="23"/>
    </row>
    <row r="45" spans="1:14" s="10" customFormat="1" ht="17.25" customHeight="1">
      <c r="A45" s="159">
        <v>2019</v>
      </c>
      <c r="B45" s="425">
        <v>2079</v>
      </c>
      <c r="C45" s="425">
        <v>1214</v>
      </c>
      <c r="D45" s="425">
        <v>2626.5</v>
      </c>
      <c r="E45" s="425">
        <v>21.17</v>
      </c>
      <c r="F45" s="28"/>
      <c r="G45" s="28"/>
      <c r="H45" s="28"/>
      <c r="I45" s="28"/>
      <c r="J45" s="28"/>
      <c r="K45" s="28"/>
      <c r="L45" s="28"/>
      <c r="M45" s="29"/>
      <c r="N45" s="23"/>
    </row>
    <row r="46" spans="1:14" s="10" customFormat="1" ht="17.25" customHeight="1">
      <c r="A46" s="319">
        <v>2020</v>
      </c>
      <c r="B46" s="320">
        <v>2685.5</v>
      </c>
      <c r="C46" s="320">
        <v>1532</v>
      </c>
      <c r="D46" s="320">
        <v>3247</v>
      </c>
      <c r="E46" s="320">
        <v>28.51</v>
      </c>
      <c r="F46" s="28"/>
      <c r="G46" s="28"/>
      <c r="H46" s="28"/>
      <c r="I46" s="28"/>
      <c r="J46" s="28"/>
      <c r="K46" s="28"/>
      <c r="L46" s="28"/>
      <c r="M46" s="29"/>
      <c r="N46" s="23"/>
    </row>
    <row r="47" spans="1:14" s="10" customFormat="1" ht="17.25" customHeight="1">
      <c r="A47" s="128" t="s">
        <v>68</v>
      </c>
      <c r="B47" s="16"/>
      <c r="C47" s="16"/>
      <c r="F47" s="28"/>
      <c r="G47" s="28"/>
      <c r="H47" s="28"/>
      <c r="I47" s="28"/>
      <c r="J47" s="28"/>
      <c r="K47" s="28"/>
      <c r="L47" s="28"/>
      <c r="M47" s="107"/>
    </row>
    <row r="48" spans="1:14" ht="17.25" customHeight="1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87"/>
    </row>
    <row r="49" spans="1:14" ht="17.25" customHeight="1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07"/>
      <c r="N49" s="107"/>
    </row>
    <row r="50" spans="1:14" ht="17.25" customHeight="1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03"/>
    </row>
    <row r="51" spans="1:14" ht="17.25" customHeight="1">
      <c r="A51" s="111"/>
      <c r="B51" s="111"/>
      <c r="C51" s="111"/>
      <c r="D51" s="111"/>
      <c r="E51" s="111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 ht="17.25" customHeight="1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N52" s="103"/>
    </row>
    <row r="53" spans="1:14" ht="17.25" customHeight="1">
      <c r="A53" s="111"/>
      <c r="B53" s="111"/>
      <c r="C53" s="111"/>
      <c r="D53" s="111"/>
      <c r="E53" s="111"/>
      <c r="F53" s="103"/>
      <c r="G53" s="103"/>
      <c r="H53" s="103"/>
      <c r="I53" s="103"/>
      <c r="J53" s="103"/>
      <c r="K53" s="103"/>
      <c r="L53" s="103"/>
      <c r="M53" s="103"/>
      <c r="N53" s="103"/>
    </row>
    <row r="54" spans="1:14" ht="17.25" customHeight="1">
      <c r="A54" s="111"/>
      <c r="B54" s="111"/>
      <c r="C54" s="111"/>
      <c r="D54" s="111"/>
      <c r="E54" s="111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4" ht="17.25" customHeight="1">
      <c r="A55" s="111"/>
      <c r="B55" s="111"/>
      <c r="C55" s="111"/>
      <c r="D55" s="111"/>
      <c r="E55" s="111"/>
      <c r="F55" s="103"/>
      <c r="G55" s="103"/>
      <c r="H55" s="103"/>
      <c r="I55" s="103"/>
      <c r="J55" s="103"/>
      <c r="K55" s="103"/>
      <c r="L55" s="103"/>
      <c r="M55" s="103"/>
    </row>
    <row r="56" spans="1:14" ht="17.25" customHeight="1">
      <c r="A56" s="111"/>
      <c r="B56" s="111"/>
      <c r="C56" s="111"/>
      <c r="D56" s="111"/>
      <c r="E56" s="111"/>
      <c r="F56" s="103"/>
      <c r="G56" s="103"/>
      <c r="H56" s="103"/>
      <c r="I56" s="103"/>
      <c r="J56" s="103"/>
      <c r="K56" s="103"/>
      <c r="L56" s="103"/>
      <c r="M56" s="103"/>
      <c r="N56" s="103"/>
    </row>
    <row r="57" spans="1:14" ht="17.25" customHeight="1">
      <c r="A57" s="111"/>
      <c r="B57" s="111"/>
      <c r="C57" s="111"/>
      <c r="D57" s="111"/>
      <c r="E57" s="111"/>
      <c r="F57" s="103"/>
      <c r="G57" s="103"/>
      <c r="H57" s="103"/>
      <c r="I57" s="103"/>
      <c r="J57" s="103"/>
      <c r="K57" s="103"/>
      <c r="L57" s="103"/>
      <c r="M57" s="103"/>
    </row>
    <row r="58" spans="1:14" ht="17.25" customHeight="1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03"/>
      <c r="L58" s="103"/>
      <c r="M58" s="103"/>
      <c r="N58" s="103"/>
    </row>
    <row r="59" spans="1:14" ht="17.25" customHeight="1">
      <c r="A59" s="111"/>
      <c r="D59" s="111"/>
      <c r="E59" s="111"/>
      <c r="F59" s="103"/>
      <c r="G59" s="103"/>
      <c r="H59" s="103"/>
      <c r="I59" s="103"/>
      <c r="J59" s="103"/>
      <c r="K59" s="103"/>
      <c r="L59" s="103"/>
      <c r="M59" s="103"/>
      <c r="N59" s="103"/>
    </row>
    <row r="60" spans="1:14" ht="17.25" customHeight="1">
      <c r="A60" s="111"/>
      <c r="D60" s="111"/>
      <c r="E60" s="111"/>
      <c r="F60" s="103"/>
      <c r="G60" s="103"/>
      <c r="H60" s="103"/>
      <c r="I60" s="103"/>
      <c r="J60" s="103"/>
      <c r="K60" s="103"/>
      <c r="L60" s="103"/>
      <c r="M60" s="103"/>
      <c r="N60" s="103"/>
    </row>
    <row r="62" spans="1:14" ht="17.25" customHeight="1">
      <c r="F62" s="103"/>
      <c r="G62" s="103"/>
      <c r="H62" s="103"/>
      <c r="I62" s="103"/>
      <c r="J62" s="103"/>
      <c r="K62" s="103"/>
      <c r="L62" s="103"/>
      <c r="M62" s="103"/>
      <c r="N62" s="103"/>
    </row>
    <row r="63" spans="1:14" ht="17.25" customHeight="1">
      <c r="F63" s="103"/>
      <c r="G63" s="103"/>
      <c r="H63" s="103"/>
      <c r="I63" s="103"/>
      <c r="J63" s="103"/>
      <c r="K63" s="103"/>
      <c r="L63" s="103"/>
      <c r="M63" s="103"/>
      <c r="N63" s="103"/>
    </row>
    <row r="64" spans="1:14" ht="17.25" customHeight="1">
      <c r="D64" s="114"/>
      <c r="E64" s="114"/>
      <c r="F64" s="103"/>
      <c r="G64" s="103"/>
      <c r="H64" s="103"/>
      <c r="I64" s="103"/>
      <c r="J64" s="103"/>
      <c r="K64" s="103"/>
      <c r="L64" s="103"/>
      <c r="M64" s="103"/>
      <c r="N64" s="103"/>
    </row>
    <row r="65" spans="1:18" ht="17.25" customHeight="1">
      <c r="D65" s="114"/>
      <c r="E65" s="114"/>
      <c r="I65" s="23"/>
      <c r="J65" s="103"/>
      <c r="K65" s="115"/>
      <c r="L65" s="115"/>
      <c r="M65" s="115"/>
      <c r="N65" s="109"/>
      <c r="O65" s="23"/>
      <c r="P65" s="109"/>
      <c r="Q65" s="23"/>
      <c r="R65" s="87"/>
    </row>
    <row r="66" spans="1:18" ht="17.25" customHeight="1">
      <c r="A66" s="111"/>
      <c r="D66" s="111"/>
      <c r="E66" s="111"/>
      <c r="I66" s="103"/>
      <c r="J66" s="103"/>
      <c r="K66" s="115"/>
      <c r="L66" s="115"/>
      <c r="M66" s="115"/>
      <c r="N66" s="109"/>
      <c r="O66" s="23"/>
      <c r="P66" s="109"/>
      <c r="Q66" s="23"/>
      <c r="R66" s="87"/>
    </row>
    <row r="67" spans="1:18" ht="17.25" customHeight="1">
      <c r="D67" s="111"/>
      <c r="E67" s="111"/>
      <c r="I67" s="103"/>
      <c r="J67" s="103"/>
      <c r="K67" s="115"/>
      <c r="L67" s="115"/>
      <c r="M67" s="115"/>
      <c r="N67" s="109"/>
      <c r="O67" s="23"/>
      <c r="P67" s="109"/>
      <c r="Q67" s="23"/>
      <c r="R67" s="87"/>
    </row>
    <row r="68" spans="1:18" ht="17.25" customHeight="1">
      <c r="I68" s="103"/>
      <c r="J68" s="103"/>
      <c r="K68" s="115"/>
      <c r="L68" s="115"/>
      <c r="M68" s="115"/>
      <c r="N68" s="109"/>
      <c r="O68" s="23"/>
      <c r="P68" s="109"/>
      <c r="Q68" s="23"/>
      <c r="R68" s="87"/>
    </row>
    <row r="69" spans="1:18" ht="17.25" customHeight="1">
      <c r="D69" s="111"/>
      <c r="E69" s="111"/>
      <c r="I69" s="103"/>
      <c r="J69" s="103"/>
      <c r="K69" s="115"/>
      <c r="L69" s="115"/>
      <c r="M69" s="115"/>
      <c r="N69" s="109"/>
      <c r="O69" s="23"/>
      <c r="P69" s="109"/>
      <c r="Q69" s="23"/>
      <c r="R69" s="87"/>
    </row>
    <row r="70" spans="1:18" ht="17.25" customHeight="1">
      <c r="I70" s="103"/>
      <c r="J70" s="103"/>
      <c r="K70" s="115"/>
      <c r="L70" s="115"/>
      <c r="M70" s="115"/>
      <c r="N70" s="109"/>
      <c r="O70" s="23"/>
      <c r="P70" s="109"/>
      <c r="Q70" s="23"/>
      <c r="R70" s="87"/>
    </row>
    <row r="71" spans="1:18" ht="17.25" customHeight="1">
      <c r="I71" s="103"/>
      <c r="J71" s="103"/>
      <c r="K71" s="115"/>
      <c r="L71" s="115"/>
      <c r="M71" s="115"/>
      <c r="N71" s="109"/>
      <c r="O71" s="23"/>
      <c r="P71" s="109"/>
      <c r="Q71" s="23"/>
      <c r="R71" s="87"/>
    </row>
    <row r="72" spans="1:18" ht="17.25" customHeight="1">
      <c r="K72" s="87"/>
      <c r="L72" s="115"/>
      <c r="M72" s="115"/>
      <c r="N72" s="109"/>
      <c r="O72" s="23"/>
      <c r="P72" s="109"/>
      <c r="Q72" s="23"/>
      <c r="R72" s="87"/>
    </row>
    <row r="73" spans="1:18" ht="17.25" customHeight="1">
      <c r="K73" s="87"/>
      <c r="L73" s="115"/>
      <c r="M73" s="115"/>
      <c r="N73" s="109"/>
      <c r="O73" s="23"/>
      <c r="P73" s="109"/>
      <c r="Q73" s="23"/>
      <c r="R73" s="87"/>
    </row>
    <row r="74" spans="1:18" ht="17.25" customHeight="1">
      <c r="K74" s="87"/>
      <c r="L74" s="115"/>
      <c r="M74" s="115"/>
      <c r="N74" s="109"/>
      <c r="O74" s="23"/>
      <c r="P74" s="109"/>
      <c r="Q74" s="23"/>
      <c r="R74" s="87"/>
    </row>
    <row r="75" spans="1:18" ht="17.25" customHeight="1">
      <c r="K75" s="87"/>
      <c r="L75" s="115"/>
      <c r="M75" s="115"/>
      <c r="N75" s="109"/>
      <c r="O75" s="23"/>
      <c r="P75" s="109"/>
      <c r="Q75" s="23"/>
      <c r="R75" s="87"/>
    </row>
    <row r="76" spans="1:18" ht="17.25" customHeight="1">
      <c r="K76" s="87"/>
      <c r="L76" s="115"/>
      <c r="M76" s="115"/>
      <c r="N76" s="109"/>
      <c r="O76" s="23"/>
      <c r="P76" s="109"/>
      <c r="Q76" s="23"/>
      <c r="R76" s="87"/>
    </row>
    <row r="77" spans="1:18" ht="17.25" customHeight="1">
      <c r="L77" s="115"/>
      <c r="M77" s="115"/>
      <c r="N77" s="109"/>
      <c r="O77" s="23"/>
      <c r="P77" s="109"/>
      <c r="Q77" s="23"/>
      <c r="R77" s="87"/>
    </row>
    <row r="78" spans="1:18" ht="17.25" customHeight="1">
      <c r="L78" s="116"/>
      <c r="M78" s="115"/>
      <c r="N78" s="109"/>
      <c r="O78" s="109"/>
      <c r="P78" s="109"/>
      <c r="Q78" s="23"/>
      <c r="R78" s="87"/>
    </row>
    <row r="79" spans="1:18" ht="17.25" customHeight="1">
      <c r="A79" s="104"/>
      <c r="B79" s="104"/>
      <c r="C79" s="104"/>
      <c r="L79" s="87"/>
      <c r="M79" s="87"/>
      <c r="N79" s="87"/>
      <c r="O79" s="87"/>
      <c r="P79" s="87"/>
      <c r="Q79" s="87"/>
      <c r="R79" s="87"/>
    </row>
    <row r="80" spans="1:18" ht="17.25" customHeight="1">
      <c r="A80" s="104"/>
      <c r="B80" s="104"/>
      <c r="C80" s="104"/>
    </row>
    <row r="81" spans="1:3" ht="17.25" customHeight="1">
      <c r="A81" s="117"/>
      <c r="B81" s="117"/>
      <c r="C81" s="117"/>
    </row>
    <row r="82" spans="1:3" ht="17.25" customHeight="1">
      <c r="A82" s="118"/>
      <c r="B82" s="118"/>
      <c r="C82" s="118"/>
    </row>
    <row r="83" spans="1:3" ht="17.25" customHeight="1">
      <c r="A83" s="118"/>
      <c r="B83" s="118"/>
      <c r="C83" s="118"/>
    </row>
    <row r="84" spans="1:3" ht="17.25" customHeight="1">
      <c r="A84" s="118"/>
      <c r="B84" s="118"/>
      <c r="C84" s="118"/>
    </row>
    <row r="85" spans="1:3" ht="17.25" customHeight="1">
      <c r="A85" s="118"/>
      <c r="B85" s="119"/>
      <c r="C85" s="119"/>
    </row>
    <row r="86" spans="1:3" ht="17.25" customHeight="1">
      <c r="A86" s="118"/>
      <c r="B86" s="120"/>
      <c r="C86" s="120"/>
    </row>
    <row r="87" spans="1:3" ht="17.25" customHeight="1">
      <c r="A87" s="119"/>
      <c r="B87" s="119"/>
      <c r="C87" s="119"/>
    </row>
    <row r="88" spans="1:3" ht="17.25" customHeight="1">
      <c r="A88" s="121"/>
      <c r="B88" s="122"/>
      <c r="C88" s="122"/>
    </row>
    <row r="89" spans="1:3" ht="17.25" customHeight="1">
      <c r="A89" s="118"/>
      <c r="B89" s="122"/>
      <c r="C89" s="122"/>
    </row>
    <row r="92" spans="1:3" ht="17.25" customHeight="1">
      <c r="A92" s="123"/>
      <c r="B92" s="123"/>
      <c r="C92" s="123"/>
    </row>
  </sheetData>
  <mergeCells count="3">
    <mergeCell ref="A2:E2"/>
    <mergeCell ref="A3:E3"/>
    <mergeCell ref="A4:E4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1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15.1640625" style="10" customWidth="1"/>
    <col min="2" max="5" width="24.1640625" style="16" customWidth="1"/>
    <col min="6" max="16384" width="9.1640625" style="10"/>
  </cols>
  <sheetData>
    <row r="2" spans="1:11" ht="17.25" customHeight="1">
      <c r="A2" s="571" t="s">
        <v>213</v>
      </c>
      <c r="B2" s="571"/>
      <c r="C2" s="571"/>
      <c r="D2" s="571"/>
      <c r="E2" s="571"/>
    </row>
    <row r="3" spans="1:11" ht="17.25" customHeight="1">
      <c r="A3" s="571" t="s">
        <v>299</v>
      </c>
      <c r="B3" s="571"/>
      <c r="C3" s="571"/>
      <c r="D3" s="571"/>
      <c r="E3" s="571"/>
      <c r="F3" s="134"/>
      <c r="G3" s="134"/>
      <c r="H3" s="134"/>
      <c r="I3" s="134"/>
      <c r="J3" s="134"/>
      <c r="K3" s="134"/>
    </row>
    <row r="4" spans="1:11" ht="17.25" customHeight="1">
      <c r="A4" s="571" t="s">
        <v>71</v>
      </c>
      <c r="B4" s="571"/>
      <c r="C4" s="571"/>
      <c r="D4" s="571"/>
      <c r="E4" s="571"/>
      <c r="F4" s="134"/>
      <c r="H4" s="134"/>
      <c r="I4" s="134"/>
      <c r="J4" s="134"/>
      <c r="K4" s="134"/>
    </row>
    <row r="6" spans="1:11" ht="60">
      <c r="A6" s="483" t="s">
        <v>139</v>
      </c>
      <c r="B6" s="129" t="s">
        <v>155</v>
      </c>
      <c r="C6" s="130" t="s">
        <v>156</v>
      </c>
      <c r="D6" s="485" t="s">
        <v>154</v>
      </c>
      <c r="E6" s="130" t="s">
        <v>245</v>
      </c>
    </row>
    <row r="7" spans="1:11" ht="17.25" customHeight="1">
      <c r="A7" s="131" t="s">
        <v>140</v>
      </c>
      <c r="B7" s="135">
        <v>3013.5</v>
      </c>
      <c r="C7" s="136">
        <v>1929.5</v>
      </c>
      <c r="D7" s="135">
        <v>4129.5</v>
      </c>
      <c r="E7" s="135">
        <v>31.63</v>
      </c>
    </row>
    <row r="8" spans="1:11" ht="17.25" customHeight="1">
      <c r="A8" s="69" t="s">
        <v>141</v>
      </c>
      <c r="B8" s="137">
        <v>2714.5</v>
      </c>
      <c r="C8" s="138">
        <v>1632</v>
      </c>
      <c r="D8" s="137">
        <v>3319.5</v>
      </c>
      <c r="E8" s="137">
        <v>28.03</v>
      </c>
    </row>
    <row r="9" spans="1:11" ht="17.25" customHeight="1">
      <c r="A9" s="69" t="s">
        <v>142</v>
      </c>
      <c r="B9" s="137">
        <v>2382</v>
      </c>
      <c r="C9" s="138">
        <v>1441.5</v>
      </c>
      <c r="D9" s="137">
        <v>2882.5</v>
      </c>
      <c r="E9" s="137">
        <v>24.17</v>
      </c>
    </row>
    <row r="10" spans="1:11" ht="17.25" customHeight="1">
      <c r="A10" s="69" t="s">
        <v>143</v>
      </c>
      <c r="B10" s="137">
        <v>2299</v>
      </c>
      <c r="C10" s="138">
        <v>1366.5</v>
      </c>
      <c r="D10" s="137">
        <v>2870.5</v>
      </c>
      <c r="E10" s="137">
        <v>23.16</v>
      </c>
    </row>
    <row r="11" spans="1:11" ht="17.25" customHeight="1">
      <c r="A11" s="69" t="s">
        <v>133</v>
      </c>
      <c r="B11" s="137">
        <v>2074</v>
      </c>
      <c r="C11" s="138">
        <v>1231</v>
      </c>
      <c r="D11" s="137">
        <v>2538.5</v>
      </c>
      <c r="E11" s="137">
        <v>20.52</v>
      </c>
    </row>
    <row r="12" spans="1:11" ht="17.25" customHeight="1">
      <c r="A12" s="69" t="s">
        <v>144</v>
      </c>
      <c r="B12" s="137">
        <v>2411.5</v>
      </c>
      <c r="C12" s="138">
        <v>1422</v>
      </c>
      <c r="D12" s="137">
        <v>2951.5</v>
      </c>
      <c r="E12" s="137">
        <v>24.43</v>
      </c>
    </row>
    <row r="13" spans="1:11" ht="17.25" customHeight="1">
      <c r="A13" s="69" t="s">
        <v>145</v>
      </c>
      <c r="B13" s="137">
        <v>2519</v>
      </c>
      <c r="C13" s="138">
        <v>1375.5</v>
      </c>
      <c r="D13" s="137">
        <v>2778.5</v>
      </c>
      <c r="E13" s="137">
        <v>25.37</v>
      </c>
    </row>
    <row r="14" spans="1:11" ht="17.25" customHeight="1">
      <c r="A14" s="69" t="s">
        <v>146</v>
      </c>
      <c r="B14" s="137">
        <v>2815</v>
      </c>
      <c r="C14" s="138">
        <v>1482.5</v>
      </c>
      <c r="D14" s="137">
        <v>2980.5</v>
      </c>
      <c r="E14" s="137">
        <v>28.59</v>
      </c>
    </row>
    <row r="15" spans="1:11" ht="17.25" customHeight="1">
      <c r="A15" s="69" t="s">
        <v>147</v>
      </c>
      <c r="B15" s="137">
        <v>2924</v>
      </c>
      <c r="C15" s="138">
        <v>1606</v>
      </c>
      <c r="D15" s="137">
        <v>3174.5</v>
      </c>
      <c r="E15" s="137">
        <v>29.99</v>
      </c>
    </row>
    <row r="16" spans="1:11" ht="17.25" customHeight="1">
      <c r="A16" s="69" t="s">
        <v>148</v>
      </c>
      <c r="B16" s="137">
        <v>2979.5</v>
      </c>
      <c r="C16" s="138">
        <v>1624.5</v>
      </c>
      <c r="D16" s="137">
        <v>3190.5</v>
      </c>
      <c r="E16" s="137">
        <v>30.65</v>
      </c>
    </row>
    <row r="17" spans="1:5" ht="17.25" customHeight="1">
      <c r="A17" s="69" t="s">
        <v>149</v>
      </c>
      <c r="B17" s="137">
        <v>3422</v>
      </c>
      <c r="C17" s="138">
        <v>2169</v>
      </c>
      <c r="D17" s="137">
        <v>4317.5</v>
      </c>
      <c r="E17" s="137">
        <v>36.6</v>
      </c>
    </row>
    <row r="18" spans="1:5" ht="17.25" customHeight="1">
      <c r="A18" s="132" t="s">
        <v>150</v>
      </c>
      <c r="B18" s="139">
        <v>3620.5</v>
      </c>
      <c r="C18" s="140">
        <v>2399</v>
      </c>
      <c r="D18" s="139">
        <v>4730.5</v>
      </c>
      <c r="E18" s="139">
        <v>38.96</v>
      </c>
    </row>
    <row r="19" spans="1:5" ht="17.25" customHeight="1">
      <c r="A19" s="428" t="s">
        <v>111</v>
      </c>
      <c r="B19" s="141">
        <v>2685.5</v>
      </c>
      <c r="C19" s="142">
        <v>1532</v>
      </c>
      <c r="D19" s="143">
        <v>3247</v>
      </c>
      <c r="E19" s="144">
        <v>28.51</v>
      </c>
    </row>
    <row r="20" spans="1:5" ht="17.25" customHeight="1">
      <c r="A20" s="146" t="s">
        <v>68</v>
      </c>
      <c r="B20" s="145"/>
      <c r="C20" s="145"/>
      <c r="D20" s="145"/>
      <c r="E20" s="10"/>
    </row>
    <row r="21" spans="1:5" ht="17.25" customHeight="1">
      <c r="B21" s="133"/>
      <c r="C21" s="133"/>
      <c r="D21" s="133"/>
      <c r="E21" s="133"/>
    </row>
  </sheetData>
  <mergeCells count="3">
    <mergeCell ref="A4:E4"/>
    <mergeCell ref="A3:E3"/>
    <mergeCell ref="A2:E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5"/>
  <sheetViews>
    <sheetView view="pageBreakPreview" zoomScaleNormal="100" zoomScaleSheetLayoutView="100" workbookViewId="0">
      <pane xSplit="2" ySplit="6" topLeftCell="C7" activePane="bottomRight" state="frozen"/>
      <selection activeCell="H38" sqref="H38"/>
      <selection pane="topRight" activeCell="H38" sqref="H38"/>
      <selection pane="bottomLeft" activeCell="H38" sqref="H38"/>
      <selection pane="bottomRight" activeCell="H38" sqref="H38"/>
    </sheetView>
  </sheetViews>
  <sheetFormatPr defaultRowHeight="14.25"/>
  <cols>
    <col min="1" max="1" width="9.33203125" style="517"/>
    <col min="2" max="2" width="32" style="517" customWidth="1"/>
    <col min="3" max="3" width="12.1640625" style="517" customWidth="1"/>
    <col min="4" max="4" width="24" style="517" customWidth="1"/>
    <col min="5" max="5" width="13.5" style="517" customWidth="1"/>
    <col min="6" max="6" width="24" style="517" customWidth="1"/>
    <col min="7" max="7" width="23" style="517" customWidth="1"/>
    <col min="8" max="16384" width="9.33203125" style="517"/>
  </cols>
  <sheetData>
    <row r="2" spans="1:13" ht="15">
      <c r="A2" s="592" t="s">
        <v>166</v>
      </c>
      <c r="B2" s="592"/>
      <c r="C2" s="592"/>
      <c r="D2" s="592"/>
      <c r="E2" s="592"/>
      <c r="F2" s="592"/>
      <c r="G2" s="513"/>
      <c r="H2" s="513"/>
      <c r="I2" s="513"/>
      <c r="J2" s="513"/>
      <c r="K2" s="513"/>
      <c r="L2" s="513"/>
      <c r="M2" s="513"/>
    </row>
    <row r="3" spans="1:13" ht="15">
      <c r="A3" s="574" t="s">
        <v>333</v>
      </c>
      <c r="B3" s="574"/>
      <c r="C3" s="574"/>
      <c r="D3" s="574"/>
      <c r="E3" s="574"/>
      <c r="F3" s="574"/>
    </row>
    <row r="5" spans="1:13" ht="18" customHeight="1">
      <c r="A5" s="589" t="s">
        <v>60</v>
      </c>
      <c r="B5" s="589" t="s">
        <v>334</v>
      </c>
      <c r="C5" s="591" t="s">
        <v>335</v>
      </c>
      <c r="D5" s="591"/>
      <c r="E5" s="591" t="s">
        <v>336</v>
      </c>
      <c r="F5" s="591"/>
    </row>
    <row r="6" spans="1:13" ht="27" customHeight="1">
      <c r="A6" s="590"/>
      <c r="B6" s="590"/>
      <c r="C6" s="523" t="s">
        <v>337</v>
      </c>
      <c r="D6" s="521" t="s">
        <v>338</v>
      </c>
      <c r="E6" s="523" t="s">
        <v>337</v>
      </c>
      <c r="F6" s="521" t="s">
        <v>338</v>
      </c>
    </row>
    <row r="7" spans="1:13" ht="16.5">
      <c r="A7" s="518">
        <v>2010</v>
      </c>
      <c r="B7" s="498" t="s">
        <v>339</v>
      </c>
      <c r="C7" s="499">
        <v>3280.1274699999999</v>
      </c>
      <c r="D7" s="499">
        <v>3815.94848</v>
      </c>
      <c r="E7" s="499">
        <v>16944.77</v>
      </c>
      <c r="F7" s="499">
        <v>45322.03</v>
      </c>
    </row>
    <row r="8" spans="1:13" ht="16.5">
      <c r="A8" s="519">
        <v>2010</v>
      </c>
      <c r="B8" s="498" t="s">
        <v>340</v>
      </c>
      <c r="C8" s="499">
        <v>590.44207600000004</v>
      </c>
      <c r="D8" s="499">
        <v>1918.6169070000001</v>
      </c>
      <c r="E8" s="499">
        <v>1021.43</v>
      </c>
      <c r="F8" s="499">
        <v>3842.16</v>
      </c>
    </row>
    <row r="9" spans="1:13">
      <c r="A9" s="519">
        <v>2010</v>
      </c>
      <c r="B9" s="498" t="s">
        <v>341</v>
      </c>
      <c r="C9" s="499">
        <v>1497.0144807799998</v>
      </c>
      <c r="D9" s="499">
        <v>1429.132102</v>
      </c>
      <c r="E9" s="499">
        <v>3188.46</v>
      </c>
      <c r="F9" s="499">
        <v>10363.4</v>
      </c>
    </row>
    <row r="10" spans="1:13">
      <c r="A10" s="519">
        <v>2010</v>
      </c>
      <c r="B10" s="498" t="s">
        <v>254</v>
      </c>
      <c r="C10" s="499">
        <v>19.036262109999996</v>
      </c>
      <c r="D10" s="499">
        <v>116.49196000000001</v>
      </c>
      <c r="E10" s="499">
        <v>534.30999999999995</v>
      </c>
      <c r="F10" s="499">
        <v>2047.65</v>
      </c>
    </row>
    <row r="11" spans="1:13">
      <c r="A11" s="519">
        <v>2010</v>
      </c>
      <c r="B11" s="498" t="s">
        <v>342</v>
      </c>
      <c r="C11" s="499">
        <v>12.416139999999999</v>
      </c>
      <c r="D11" s="499">
        <v>1.6302639999999999</v>
      </c>
      <c r="E11" s="499">
        <v>2157.12</v>
      </c>
      <c r="F11" s="499">
        <v>647.48</v>
      </c>
    </row>
    <row r="12" spans="1:13" ht="15">
      <c r="A12" s="519">
        <v>2010</v>
      </c>
      <c r="B12" s="500" t="s">
        <v>0</v>
      </c>
      <c r="C12" s="501">
        <v>5399.0364288899991</v>
      </c>
      <c r="D12" s="501">
        <v>7281.8197129999999</v>
      </c>
      <c r="E12" s="501">
        <v>23846.096241759999</v>
      </c>
      <c r="F12" s="501">
        <v>62222.705312999999</v>
      </c>
    </row>
    <row r="13" spans="1:13" ht="16.5">
      <c r="A13" s="518">
        <v>2011</v>
      </c>
      <c r="B13" s="498" t="s">
        <v>339</v>
      </c>
      <c r="C13" s="499">
        <v>1920.4116100000001</v>
      </c>
      <c r="D13" s="499">
        <v>6513.6914610000003</v>
      </c>
      <c r="E13" s="499">
        <v>18265.984109999998</v>
      </c>
      <c r="F13" s="499">
        <v>60993.21</v>
      </c>
    </row>
    <row r="14" spans="1:13" ht="16.5">
      <c r="A14" s="519">
        <v>2011</v>
      </c>
      <c r="B14" s="498" t="s">
        <v>340</v>
      </c>
      <c r="C14" s="499">
        <v>563.99153999999999</v>
      </c>
      <c r="D14" s="499">
        <v>2682.0467709999998</v>
      </c>
      <c r="E14" s="499">
        <v>1077.24056</v>
      </c>
      <c r="F14" s="499">
        <v>5573.01</v>
      </c>
    </row>
    <row r="15" spans="1:13">
      <c r="A15" s="519">
        <v>2011</v>
      </c>
      <c r="B15" s="498" t="s">
        <v>341</v>
      </c>
      <c r="C15" s="499">
        <v>447.10958086999995</v>
      </c>
      <c r="D15" s="499">
        <v>2351.4812740000002</v>
      </c>
      <c r="E15" s="499">
        <v>2892.8206304999999</v>
      </c>
      <c r="F15" s="499">
        <v>13339.89</v>
      </c>
    </row>
    <row r="16" spans="1:13">
      <c r="A16" s="519">
        <v>2011</v>
      </c>
      <c r="B16" s="498" t="s">
        <v>254</v>
      </c>
      <c r="C16" s="499">
        <v>17.58663374</v>
      </c>
      <c r="D16" s="499">
        <v>132.28824</v>
      </c>
      <c r="E16" s="499">
        <v>516.49145622000003</v>
      </c>
      <c r="F16" s="499">
        <v>2441.23</v>
      </c>
    </row>
    <row r="17" spans="1:6">
      <c r="A17" s="519">
        <v>2011</v>
      </c>
      <c r="B17" s="498" t="s">
        <v>342</v>
      </c>
      <c r="C17" s="499">
        <v>16.96808</v>
      </c>
      <c r="D17" s="499">
        <v>4.6216900000000001</v>
      </c>
      <c r="E17" s="499">
        <v>2177.5157600000002</v>
      </c>
      <c r="F17" s="499">
        <v>910.03</v>
      </c>
    </row>
    <row r="18" spans="1:6" ht="15">
      <c r="A18" s="520">
        <v>2011</v>
      </c>
      <c r="B18" s="500" t="s">
        <v>0</v>
      </c>
      <c r="C18" s="501">
        <v>2966.0674446100002</v>
      </c>
      <c r="D18" s="501">
        <v>11684.129435999999</v>
      </c>
      <c r="E18" s="501">
        <v>24930.052516719996</v>
      </c>
      <c r="F18" s="501">
        <v>83257.377907999995</v>
      </c>
    </row>
    <row r="19" spans="1:6" ht="16.5">
      <c r="A19" s="519">
        <v>2012</v>
      </c>
      <c r="B19" s="498" t="s">
        <v>339</v>
      </c>
      <c r="C19" s="502">
        <v>1898.7</v>
      </c>
      <c r="D19" s="499">
        <v>5817.04</v>
      </c>
      <c r="E19" s="502">
        <v>17844.03</v>
      </c>
      <c r="F19" s="499">
        <v>53607.1</v>
      </c>
    </row>
    <row r="20" spans="1:6" ht="16.5">
      <c r="A20" s="519">
        <v>2012</v>
      </c>
      <c r="B20" s="498" t="s">
        <v>340</v>
      </c>
      <c r="C20" s="499">
        <v>443.16</v>
      </c>
      <c r="D20" s="499">
        <v>1555.54</v>
      </c>
      <c r="E20" s="499">
        <v>1006.17</v>
      </c>
      <c r="F20" s="499">
        <v>3824.98</v>
      </c>
    </row>
    <row r="21" spans="1:6">
      <c r="A21" s="519">
        <v>2012</v>
      </c>
      <c r="B21" s="498" t="s">
        <v>341</v>
      </c>
      <c r="C21" s="499">
        <v>677.75</v>
      </c>
      <c r="D21" s="499">
        <v>2775.89</v>
      </c>
      <c r="E21" s="499">
        <v>3354.09</v>
      </c>
      <c r="F21" s="499">
        <v>12731.999</v>
      </c>
    </row>
    <row r="22" spans="1:6">
      <c r="A22" s="519">
        <v>2012</v>
      </c>
      <c r="B22" s="498" t="s">
        <v>254</v>
      </c>
      <c r="C22" s="499">
        <v>22.53</v>
      </c>
      <c r="D22" s="502">
        <v>141.38</v>
      </c>
      <c r="E22" s="499">
        <v>479.69</v>
      </c>
      <c r="F22" s="502">
        <v>2080.5300000000002</v>
      </c>
    </row>
    <row r="23" spans="1:6">
      <c r="A23" s="519">
        <v>2012</v>
      </c>
      <c r="B23" s="498" t="s">
        <v>342</v>
      </c>
      <c r="C23" s="499">
        <v>1.28</v>
      </c>
      <c r="D23" s="499">
        <v>1.8</v>
      </c>
      <c r="E23" s="499">
        <v>2220.2399999999998</v>
      </c>
      <c r="F23" s="499">
        <v>913.98</v>
      </c>
    </row>
    <row r="24" spans="1:6" ht="15">
      <c r="A24" s="519">
        <v>2012</v>
      </c>
      <c r="B24" s="500" t="s">
        <v>0</v>
      </c>
      <c r="C24" s="501">
        <v>3043.4163271400002</v>
      </c>
      <c r="D24" s="501">
        <v>10291.641994</v>
      </c>
      <c r="E24" s="501">
        <v>24904.212899689999</v>
      </c>
      <c r="F24" s="501">
        <v>73158.577990999998</v>
      </c>
    </row>
    <row r="25" spans="1:6" ht="16.5">
      <c r="A25" s="518">
        <v>2013</v>
      </c>
      <c r="B25" s="498" t="s">
        <v>339</v>
      </c>
      <c r="C25" s="502">
        <v>869.88330000000008</v>
      </c>
      <c r="D25" s="502">
        <v>2090.2951549999998</v>
      </c>
      <c r="E25" s="502">
        <v>17794.615310000001</v>
      </c>
      <c r="F25" s="502">
        <v>44141.531727000001</v>
      </c>
    </row>
    <row r="26" spans="1:6" ht="16.5">
      <c r="A26" s="519">
        <v>2013</v>
      </c>
      <c r="B26" s="498" t="s">
        <v>340</v>
      </c>
      <c r="C26" s="502">
        <v>234.11</v>
      </c>
      <c r="D26" s="502">
        <v>580.875</v>
      </c>
      <c r="E26" s="502">
        <v>1124.3423899999998</v>
      </c>
      <c r="F26" s="502">
        <v>3277.6177969999999</v>
      </c>
    </row>
    <row r="27" spans="1:6">
      <c r="A27" s="519">
        <v>2013</v>
      </c>
      <c r="B27" s="498" t="s">
        <v>341</v>
      </c>
      <c r="C27" s="502">
        <v>1164.6300000000001</v>
      </c>
      <c r="D27" s="502">
        <v>3482.02</v>
      </c>
      <c r="E27" s="502">
        <v>3841.5523792799995</v>
      </c>
      <c r="F27" s="502">
        <v>12634.268874000001</v>
      </c>
    </row>
    <row r="28" spans="1:6">
      <c r="A28" s="519">
        <v>2013</v>
      </c>
      <c r="B28" s="498" t="s">
        <v>254</v>
      </c>
      <c r="C28" s="502">
        <v>25.37</v>
      </c>
      <c r="D28" s="502">
        <v>155.22999999999999</v>
      </c>
      <c r="E28" s="502">
        <v>497.09212823999991</v>
      </c>
      <c r="F28" s="502">
        <v>1905.6368479999999</v>
      </c>
    </row>
    <row r="29" spans="1:6">
      <c r="A29" s="519">
        <v>2013</v>
      </c>
      <c r="B29" s="498" t="s">
        <v>342</v>
      </c>
      <c r="C29" s="502">
        <v>8.9</v>
      </c>
      <c r="D29" s="502">
        <v>5.16</v>
      </c>
      <c r="E29" s="502">
        <v>2481.12763</v>
      </c>
      <c r="F29" s="502">
        <v>1188.0552729999999</v>
      </c>
    </row>
    <row r="30" spans="1:6" ht="15">
      <c r="A30" s="520">
        <v>2013</v>
      </c>
      <c r="B30" s="500" t="s">
        <v>0</v>
      </c>
      <c r="C30" s="501">
        <v>2302.9009539899998</v>
      </c>
      <c r="D30" s="501">
        <v>6313.5838569999996</v>
      </c>
      <c r="E30" s="501">
        <v>25738.729837520004</v>
      </c>
      <c r="F30" s="501">
        <v>63147.110519000002</v>
      </c>
    </row>
    <row r="31" spans="1:6" ht="16.5">
      <c r="A31" s="519">
        <v>2014</v>
      </c>
      <c r="B31" s="498" t="s">
        <v>339</v>
      </c>
      <c r="C31" s="502">
        <v>728.66</v>
      </c>
      <c r="D31" s="502">
        <v>1715.81</v>
      </c>
      <c r="E31" s="502">
        <v>16572.517180000003</v>
      </c>
      <c r="F31" s="502">
        <v>42809.396244000003</v>
      </c>
    </row>
    <row r="32" spans="1:6" ht="16.5">
      <c r="A32" s="519">
        <v>2014</v>
      </c>
      <c r="B32" s="498" t="s">
        <v>340</v>
      </c>
      <c r="C32" s="502">
        <v>252.42</v>
      </c>
      <c r="D32" s="502">
        <v>907.73</v>
      </c>
      <c r="E32" s="502">
        <v>1083.92228</v>
      </c>
      <c r="F32" s="502">
        <v>4112.9391189999997</v>
      </c>
    </row>
    <row r="33" spans="1:6">
      <c r="A33" s="519">
        <v>2014</v>
      </c>
      <c r="B33" s="498" t="s">
        <v>341</v>
      </c>
      <c r="C33" s="502">
        <v>979.71</v>
      </c>
      <c r="D33" s="502">
        <v>3642.37</v>
      </c>
      <c r="E33" s="502">
        <v>4294.4444294399991</v>
      </c>
      <c r="F33" s="502">
        <v>14853.790752000001</v>
      </c>
    </row>
    <row r="34" spans="1:6">
      <c r="A34" s="519">
        <v>2014</v>
      </c>
      <c r="B34" s="498" t="s">
        <v>254</v>
      </c>
      <c r="C34" s="502">
        <v>33.33</v>
      </c>
      <c r="D34" s="502">
        <v>150.53</v>
      </c>
      <c r="E34" s="502">
        <v>1402.2134778399998</v>
      </c>
      <c r="F34" s="502">
        <v>3097.2112729999999</v>
      </c>
    </row>
    <row r="35" spans="1:6">
      <c r="A35" s="519">
        <v>2014</v>
      </c>
      <c r="B35" s="498" t="s">
        <v>342</v>
      </c>
      <c r="C35" s="502">
        <v>9.8450000000000006</v>
      </c>
      <c r="D35" s="502">
        <v>3.7149999999999999</v>
      </c>
      <c r="E35" s="502">
        <v>2450.3667399999999</v>
      </c>
      <c r="F35" s="502">
        <v>1199.4036809999998</v>
      </c>
    </row>
    <row r="36" spans="1:6" ht="15">
      <c r="A36" s="519">
        <v>2014</v>
      </c>
      <c r="B36" s="500" t="s">
        <v>0</v>
      </c>
      <c r="C36" s="501">
        <v>2003.9648201000002</v>
      </c>
      <c r="D36" s="501">
        <v>6420.1514349999998</v>
      </c>
      <c r="E36" s="501">
        <v>25803.46</v>
      </c>
      <c r="F36" s="501">
        <v>66072.740000000005</v>
      </c>
    </row>
    <row r="37" spans="1:6" ht="16.5">
      <c r="A37" s="518">
        <v>2015</v>
      </c>
      <c r="B37" s="498" t="s">
        <v>339</v>
      </c>
      <c r="C37" s="502">
        <v>1497.97794</v>
      </c>
      <c r="D37" s="502">
        <v>3392.7883870000001</v>
      </c>
      <c r="E37" s="502">
        <v>16866.180919999999</v>
      </c>
      <c r="F37" s="502">
        <v>40118.231821000001</v>
      </c>
    </row>
    <row r="38" spans="1:6" ht="16.5">
      <c r="A38" s="519">
        <v>2015</v>
      </c>
      <c r="B38" s="498" t="s">
        <v>340</v>
      </c>
      <c r="C38" s="502">
        <v>380.83908000000002</v>
      </c>
      <c r="D38" s="502">
        <v>1339.169907</v>
      </c>
      <c r="E38" s="502">
        <v>1054.42056</v>
      </c>
      <c r="F38" s="502">
        <v>4037.4778620000002</v>
      </c>
    </row>
    <row r="39" spans="1:6">
      <c r="A39" s="519">
        <v>2015</v>
      </c>
      <c r="B39" s="498" t="s">
        <v>341</v>
      </c>
      <c r="C39" s="502">
        <v>1167.0388749900001</v>
      </c>
      <c r="D39" s="502">
        <v>3368.7413379999998</v>
      </c>
      <c r="E39" s="502">
        <v>4135.0886502499998</v>
      </c>
      <c r="F39" s="502">
        <v>14860.835487</v>
      </c>
    </row>
    <row r="40" spans="1:6">
      <c r="A40" s="519">
        <v>2015</v>
      </c>
      <c r="B40" s="498" t="s">
        <v>254</v>
      </c>
      <c r="C40" s="502">
        <v>20.0919618</v>
      </c>
      <c r="D40" s="502">
        <v>142.82750799999999</v>
      </c>
      <c r="E40" s="502">
        <v>1425.3876185300001</v>
      </c>
      <c r="F40" s="502">
        <v>3299.1789549999999</v>
      </c>
    </row>
    <row r="41" spans="1:6">
      <c r="A41" s="519">
        <v>2015</v>
      </c>
      <c r="B41" s="498" t="s">
        <v>342</v>
      </c>
      <c r="C41" s="502">
        <v>1.4688000000000001</v>
      </c>
      <c r="D41" s="502">
        <v>1.9978450000000001</v>
      </c>
      <c r="E41" s="502">
        <v>2490.6813000000002</v>
      </c>
      <c r="F41" s="502">
        <v>885.38706100000002</v>
      </c>
    </row>
    <row r="42" spans="1:6" ht="15">
      <c r="A42" s="520">
        <v>2015</v>
      </c>
      <c r="B42" s="500" t="s">
        <v>0</v>
      </c>
      <c r="C42" s="501">
        <v>3067.4166567899993</v>
      </c>
      <c r="D42" s="501">
        <v>8245.524985</v>
      </c>
      <c r="E42" s="501">
        <v>25971.759999999998</v>
      </c>
      <c r="F42" s="501">
        <v>63201.11</v>
      </c>
    </row>
    <row r="43" spans="1:6" ht="16.5">
      <c r="A43" s="519">
        <v>2016</v>
      </c>
      <c r="B43" s="498" t="s">
        <v>339</v>
      </c>
      <c r="C43" s="502">
        <v>699.44492999999989</v>
      </c>
      <c r="D43" s="502">
        <v>1773.557701</v>
      </c>
      <c r="E43" s="502">
        <v>15309.92361</v>
      </c>
      <c r="F43" s="502">
        <v>41442.91174499999</v>
      </c>
    </row>
    <row r="44" spans="1:6" ht="16.5">
      <c r="A44" s="519">
        <v>2016</v>
      </c>
      <c r="B44" s="498" t="s">
        <v>340</v>
      </c>
      <c r="C44" s="502">
        <v>242.59038000000001</v>
      </c>
      <c r="D44" s="502">
        <v>1227.1024769999999</v>
      </c>
      <c r="E44" s="502">
        <v>966.2582000000001</v>
      </c>
      <c r="F44" s="502">
        <v>5095.8074020000004</v>
      </c>
    </row>
    <row r="45" spans="1:6">
      <c r="A45" s="519">
        <v>2016</v>
      </c>
      <c r="B45" s="498" t="s">
        <v>341</v>
      </c>
      <c r="C45" s="502">
        <v>992.26096038999992</v>
      </c>
      <c r="D45" s="502">
        <v>4142.1719709999998</v>
      </c>
      <c r="E45" s="502">
        <v>4095.1214927699993</v>
      </c>
      <c r="F45" s="502">
        <v>16838.242561999999</v>
      </c>
    </row>
    <row r="46" spans="1:6">
      <c r="A46" s="519">
        <v>2016</v>
      </c>
      <c r="B46" s="498" t="s">
        <v>254</v>
      </c>
      <c r="C46" s="502">
        <v>20.41685717</v>
      </c>
      <c r="D46" s="502">
        <v>168.98233500000001</v>
      </c>
      <c r="E46" s="502">
        <v>1498.5111649099995</v>
      </c>
      <c r="F46" s="502">
        <v>3706.8369170000001</v>
      </c>
    </row>
    <row r="47" spans="1:6">
      <c r="A47" s="519">
        <v>2016</v>
      </c>
      <c r="B47" s="498" t="s">
        <v>342</v>
      </c>
      <c r="C47" s="502">
        <v>0.501</v>
      </c>
      <c r="D47" s="502">
        <v>0.273646</v>
      </c>
      <c r="E47" s="502">
        <v>2154.3361400000003</v>
      </c>
      <c r="F47" s="502">
        <v>838.36265500000002</v>
      </c>
    </row>
    <row r="48" spans="1:6" ht="15">
      <c r="A48" s="519">
        <v>2016</v>
      </c>
      <c r="B48" s="500" t="s">
        <v>0</v>
      </c>
      <c r="C48" s="501">
        <v>1955.2141275600004</v>
      </c>
      <c r="D48" s="501">
        <v>7312.0881300000001</v>
      </c>
      <c r="E48" s="501">
        <v>24024.15060768</v>
      </c>
      <c r="F48" s="501">
        <v>67922.161280999993</v>
      </c>
    </row>
    <row r="49" spans="1:6" ht="16.5">
      <c r="A49" s="518">
        <v>2017</v>
      </c>
      <c r="B49" s="498" t="s">
        <v>339</v>
      </c>
      <c r="C49" s="502">
        <v>843.93525999999997</v>
      </c>
      <c r="D49" s="502">
        <v>2550.7562859999998</v>
      </c>
      <c r="E49" s="502">
        <v>15187.731489999998</v>
      </c>
      <c r="F49" s="502">
        <v>46085.418310000001</v>
      </c>
    </row>
    <row r="50" spans="1:6" ht="16.5">
      <c r="A50" s="519">
        <v>2017</v>
      </c>
      <c r="B50" s="498" t="s">
        <v>340</v>
      </c>
      <c r="C50" s="502">
        <v>269.01628000000005</v>
      </c>
      <c r="D50" s="502">
        <v>1541.564601</v>
      </c>
      <c r="E50" s="502">
        <v>980.61400000000026</v>
      </c>
      <c r="F50" s="502">
        <v>5774.2849550000001</v>
      </c>
    </row>
    <row r="51" spans="1:6">
      <c r="A51" s="519">
        <v>2017</v>
      </c>
      <c r="B51" s="498" t="s">
        <v>341</v>
      </c>
      <c r="C51" s="502">
        <v>1044.41170614</v>
      </c>
      <c r="D51" s="502">
        <v>5248.7822569999998</v>
      </c>
      <c r="E51" s="502">
        <v>4419.29974958</v>
      </c>
      <c r="F51" s="502">
        <v>20395.893480999999</v>
      </c>
    </row>
    <row r="52" spans="1:6">
      <c r="A52" s="519">
        <v>2017</v>
      </c>
      <c r="B52" s="498" t="s">
        <v>254</v>
      </c>
      <c r="C52" s="502">
        <v>30.329371579999997</v>
      </c>
      <c r="D52" s="502">
        <v>239.13737699999999</v>
      </c>
      <c r="E52" s="502">
        <v>1587.5081426899997</v>
      </c>
      <c r="F52" s="502">
        <v>4624.6477599999998</v>
      </c>
    </row>
    <row r="53" spans="1:6">
      <c r="A53" s="519">
        <v>2017</v>
      </c>
      <c r="B53" s="498" t="s">
        <v>342</v>
      </c>
      <c r="C53" s="502">
        <v>0.8</v>
      </c>
      <c r="D53" s="502">
        <v>0.40279500000000001</v>
      </c>
      <c r="E53" s="502">
        <v>2243.2312999999999</v>
      </c>
      <c r="F53" s="502">
        <v>927.20988899999998</v>
      </c>
    </row>
    <row r="54" spans="1:6" ht="15">
      <c r="A54" s="520">
        <v>2017</v>
      </c>
      <c r="B54" s="500" t="s">
        <v>0</v>
      </c>
      <c r="C54" s="501">
        <v>2188.4926177200005</v>
      </c>
      <c r="D54" s="501">
        <v>9580.6433159999997</v>
      </c>
      <c r="E54" s="501">
        <v>24418.384682269996</v>
      </c>
      <c r="F54" s="501">
        <v>77807.454394999993</v>
      </c>
    </row>
    <row r="55" spans="1:6" ht="16.5">
      <c r="A55" s="518">
        <v>2018</v>
      </c>
      <c r="B55" s="498" t="s">
        <v>339</v>
      </c>
      <c r="C55" s="502">
        <v>1108.83</v>
      </c>
      <c r="D55" s="502">
        <v>2583.15</v>
      </c>
      <c r="E55" s="502">
        <v>15363.86</v>
      </c>
      <c r="F55" s="502">
        <v>38655.129999999997</v>
      </c>
    </row>
    <row r="56" spans="1:6" ht="16.5">
      <c r="A56" s="519">
        <v>2018</v>
      </c>
      <c r="B56" s="498" t="s">
        <v>340</v>
      </c>
      <c r="C56" s="502">
        <v>318.33</v>
      </c>
      <c r="D56" s="502">
        <v>1175.47</v>
      </c>
      <c r="E56" s="502">
        <v>906.31</v>
      </c>
      <c r="F56" s="502">
        <v>4092.97</v>
      </c>
    </row>
    <row r="57" spans="1:6">
      <c r="A57" s="519">
        <v>2018</v>
      </c>
      <c r="B57" s="498" t="s">
        <v>341</v>
      </c>
      <c r="C57" s="502">
        <v>1203.56</v>
      </c>
      <c r="D57" s="502">
        <v>5568.95</v>
      </c>
      <c r="E57" s="502">
        <v>4809.82</v>
      </c>
      <c r="F57" s="502">
        <v>19114.87</v>
      </c>
    </row>
    <row r="58" spans="1:6">
      <c r="A58" s="519">
        <v>2018</v>
      </c>
      <c r="B58" s="498" t="s">
        <v>254</v>
      </c>
      <c r="C58" s="502">
        <v>352.04</v>
      </c>
      <c r="D58" s="502">
        <v>965.65</v>
      </c>
      <c r="E58" s="502">
        <v>1745.54</v>
      </c>
      <c r="F58" s="502">
        <v>4518.74</v>
      </c>
    </row>
    <row r="59" spans="1:6">
      <c r="A59" s="519">
        <v>2018</v>
      </c>
      <c r="B59" s="498" t="s">
        <v>342</v>
      </c>
      <c r="C59" s="502">
        <v>0.3</v>
      </c>
      <c r="D59" s="502">
        <v>0.23</v>
      </c>
      <c r="E59" s="502">
        <v>2400.59</v>
      </c>
      <c r="F59" s="502">
        <v>1134.27</v>
      </c>
    </row>
    <row r="60" spans="1:6" ht="15">
      <c r="A60" s="520">
        <v>2018</v>
      </c>
      <c r="B60" s="500" t="s">
        <v>0</v>
      </c>
      <c r="C60" s="501">
        <v>2983.06</v>
      </c>
      <c r="D60" s="501">
        <v>10293.449999999999</v>
      </c>
      <c r="E60" s="501">
        <v>25226.12</v>
      </c>
      <c r="F60" s="501">
        <v>67515.98000000001</v>
      </c>
    </row>
    <row r="61" spans="1:6" ht="16.5">
      <c r="A61" s="518">
        <v>2019</v>
      </c>
      <c r="B61" s="498" t="s">
        <v>339</v>
      </c>
      <c r="C61" s="502">
        <v>1289.61283</v>
      </c>
      <c r="D61" s="502">
        <v>2745.5013239999998</v>
      </c>
      <c r="E61" s="502">
        <v>17428.68693</v>
      </c>
      <c r="F61" s="502">
        <v>39128.224384000001</v>
      </c>
    </row>
    <row r="62" spans="1:6" ht="16.5">
      <c r="A62" s="519">
        <v>2019</v>
      </c>
      <c r="B62" s="498" t="s">
        <v>340</v>
      </c>
      <c r="C62" s="502">
        <v>333.48245000000003</v>
      </c>
      <c r="D62" s="502">
        <v>930.11660700000004</v>
      </c>
      <c r="E62" s="502">
        <v>1006.5030700000001</v>
      </c>
      <c r="F62" s="502">
        <v>3305.8069310000001</v>
      </c>
    </row>
    <row r="63" spans="1:6">
      <c r="A63" s="519">
        <v>2019</v>
      </c>
      <c r="B63" s="498" t="s">
        <v>341</v>
      </c>
      <c r="C63" s="502">
        <v>1074.4224007400001</v>
      </c>
      <c r="D63" s="502">
        <v>4424.7873579999996</v>
      </c>
      <c r="E63" s="502">
        <v>5462.9110266400003</v>
      </c>
      <c r="F63" s="502">
        <v>18121.322917000001</v>
      </c>
    </row>
    <row r="64" spans="1:6">
      <c r="A64" s="519">
        <v>2019</v>
      </c>
      <c r="B64" s="498" t="s">
        <v>254</v>
      </c>
      <c r="C64" s="502">
        <v>431.14192628999996</v>
      </c>
      <c r="D64" s="502">
        <v>1316.7741109999999</v>
      </c>
      <c r="E64" s="502">
        <v>2559.29288705</v>
      </c>
      <c r="F64" s="502">
        <v>5945.5350539999999</v>
      </c>
    </row>
    <row r="65" spans="1:6">
      <c r="A65" s="519">
        <v>2019</v>
      </c>
      <c r="B65" s="498" t="s">
        <v>342</v>
      </c>
      <c r="C65" s="502">
        <v>0.45477999999999996</v>
      </c>
      <c r="D65" s="502">
        <v>0.23790500000000001</v>
      </c>
      <c r="E65" s="502">
        <v>2584.3304400000006</v>
      </c>
      <c r="F65" s="502">
        <v>1045.257693</v>
      </c>
    </row>
    <row r="66" spans="1:6" ht="15">
      <c r="A66" s="520">
        <v>2019</v>
      </c>
      <c r="B66" s="500" t="s">
        <v>0</v>
      </c>
      <c r="C66" s="501">
        <v>3129.1143870300002</v>
      </c>
      <c r="D66" s="501">
        <v>9417.417304999999</v>
      </c>
      <c r="E66" s="501">
        <v>29041.724353689999</v>
      </c>
      <c r="F66" s="501">
        <v>67546.146978999997</v>
      </c>
    </row>
    <row r="67" spans="1:6" ht="16.5">
      <c r="A67" s="518">
        <v>2020</v>
      </c>
      <c r="B67" s="498" t="s">
        <v>339</v>
      </c>
      <c r="C67" s="502">
        <v>1153.2913000000001</v>
      </c>
      <c r="D67" s="502">
        <v>3439.7962560000001</v>
      </c>
      <c r="E67" s="502">
        <v>16215.948899999999</v>
      </c>
      <c r="F67" s="502">
        <v>45656.332713999996</v>
      </c>
    </row>
    <row r="68" spans="1:6" ht="16.5">
      <c r="A68" s="519">
        <v>2020</v>
      </c>
      <c r="B68" s="498" t="s">
        <v>340</v>
      </c>
      <c r="C68" s="502">
        <v>300.65348</v>
      </c>
      <c r="D68" s="502">
        <v>1031.9236370000001</v>
      </c>
      <c r="E68" s="502">
        <v>1139.9982</v>
      </c>
      <c r="F68" s="502">
        <v>4150.8064530000001</v>
      </c>
    </row>
    <row r="69" spans="1:6">
      <c r="A69" s="519">
        <v>2020</v>
      </c>
      <c r="B69" s="498" t="s">
        <v>341</v>
      </c>
      <c r="C69" s="502">
        <v>1042.74387318</v>
      </c>
      <c r="D69" s="502">
        <v>4594.7427960000005</v>
      </c>
      <c r="E69" s="502">
        <v>4405.2802493300005</v>
      </c>
      <c r="F69" s="502">
        <v>16415.178808000001</v>
      </c>
    </row>
    <row r="70" spans="1:6">
      <c r="A70" s="519">
        <v>2020</v>
      </c>
      <c r="B70" s="498" t="s">
        <v>254</v>
      </c>
      <c r="C70" s="502">
        <v>546.71518309999999</v>
      </c>
      <c r="D70" s="502">
        <v>1612.813283</v>
      </c>
      <c r="E70" s="502">
        <v>2296.1156180200005</v>
      </c>
      <c r="F70" s="502">
        <v>5735.7209400000002</v>
      </c>
    </row>
    <row r="71" spans="1:6">
      <c r="A71" s="519">
        <v>2020</v>
      </c>
      <c r="B71" s="498" t="s">
        <v>342</v>
      </c>
      <c r="C71" s="502">
        <v>0.48072999999999999</v>
      </c>
      <c r="D71" s="502">
        <v>0.36826300000000001</v>
      </c>
      <c r="E71" s="502">
        <v>2529.4436800000003</v>
      </c>
      <c r="F71" s="502">
        <v>1295.155747</v>
      </c>
    </row>
    <row r="72" spans="1:6" ht="15">
      <c r="A72" s="520">
        <v>2020</v>
      </c>
      <c r="B72" s="500" t="s">
        <v>0</v>
      </c>
      <c r="C72" s="501">
        <v>3043.8845662800004</v>
      </c>
      <c r="D72" s="501">
        <v>10679.644235</v>
      </c>
      <c r="E72" s="501">
        <v>26586.78664735</v>
      </c>
      <c r="F72" s="501">
        <v>73253.194661999994</v>
      </c>
    </row>
    <row r="73" spans="1:6">
      <c r="A73" s="503" t="s">
        <v>343</v>
      </c>
    </row>
    <row r="74" spans="1:6">
      <c r="A74" s="504" t="s">
        <v>344</v>
      </c>
    </row>
    <row r="75" spans="1:6">
      <c r="A75" s="504" t="s">
        <v>345</v>
      </c>
    </row>
  </sheetData>
  <mergeCells count="6">
    <mergeCell ref="A5:A6"/>
    <mergeCell ref="B5:B6"/>
    <mergeCell ref="C5:D5"/>
    <mergeCell ref="E5:F5"/>
    <mergeCell ref="A2:F2"/>
    <mergeCell ref="A3:F3"/>
  </mergeCells>
  <printOptions horizontalCentered="1"/>
  <pageMargins left="0" right="0" top="0" bottom="0" header="0" footer="0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6"/>
  <sheetViews>
    <sheetView view="pageBreakPreview" zoomScaleNormal="100" zoomScaleSheetLayoutView="100" workbookViewId="0">
      <selection activeCell="H38" sqref="H38"/>
    </sheetView>
  </sheetViews>
  <sheetFormatPr defaultRowHeight="14.25"/>
  <cols>
    <col min="1" max="2" width="9.33203125" style="517"/>
    <col min="3" max="3" width="13.1640625" style="517" bestFit="1" customWidth="1"/>
    <col min="4" max="13" width="16.83203125" style="517" customWidth="1"/>
    <col min="14" max="16384" width="9.33203125" style="517"/>
  </cols>
  <sheetData>
    <row r="2" spans="1:23" ht="15">
      <c r="A2" s="592" t="s">
        <v>215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13"/>
      <c r="O2" s="513"/>
      <c r="P2" s="513"/>
      <c r="Q2" s="513"/>
      <c r="R2" s="513"/>
      <c r="S2" s="513"/>
      <c r="T2" s="513"/>
      <c r="U2" s="513"/>
      <c r="V2" s="513"/>
      <c r="W2" s="513"/>
    </row>
    <row r="3" spans="1:23" ht="15">
      <c r="A3" s="574" t="s">
        <v>346</v>
      </c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</row>
    <row r="5" spans="1:23" ht="17.25">
      <c r="A5" s="589" t="s">
        <v>60</v>
      </c>
      <c r="B5" s="589" t="s">
        <v>347</v>
      </c>
      <c r="C5" s="589" t="s">
        <v>139</v>
      </c>
      <c r="D5" s="593" t="s">
        <v>348</v>
      </c>
      <c r="E5" s="593"/>
      <c r="F5" s="593" t="s">
        <v>349</v>
      </c>
      <c r="G5" s="593"/>
      <c r="H5" s="593" t="s">
        <v>341</v>
      </c>
      <c r="I5" s="593"/>
      <c r="J5" s="593" t="s">
        <v>254</v>
      </c>
      <c r="K5" s="593"/>
      <c r="L5" s="593" t="s">
        <v>342</v>
      </c>
      <c r="M5" s="593"/>
    </row>
    <row r="6" spans="1:23" ht="30">
      <c r="A6" s="590"/>
      <c r="B6" s="590"/>
      <c r="C6" s="590"/>
      <c r="D6" s="505" t="s">
        <v>350</v>
      </c>
      <c r="E6" s="505" t="s">
        <v>202</v>
      </c>
      <c r="F6" s="505" t="s">
        <v>350</v>
      </c>
      <c r="G6" s="505" t="s">
        <v>202</v>
      </c>
      <c r="H6" s="505" t="s">
        <v>350</v>
      </c>
      <c r="I6" s="505" t="s">
        <v>202</v>
      </c>
      <c r="J6" s="505" t="s">
        <v>351</v>
      </c>
      <c r="K6" s="505" t="s">
        <v>202</v>
      </c>
      <c r="L6" s="505" t="s">
        <v>350</v>
      </c>
      <c r="M6" s="505" t="s">
        <v>202</v>
      </c>
    </row>
    <row r="7" spans="1:23">
      <c r="A7" s="518">
        <v>2020</v>
      </c>
      <c r="B7" s="518" t="s">
        <v>336</v>
      </c>
      <c r="C7" s="506" t="s">
        <v>140</v>
      </c>
      <c r="D7" s="507">
        <v>1137.5653699999996</v>
      </c>
      <c r="E7" s="507">
        <v>3242.628776</v>
      </c>
      <c r="F7" s="507">
        <v>93.192600000000041</v>
      </c>
      <c r="G7" s="507">
        <v>330.51179400000001</v>
      </c>
      <c r="H7" s="507">
        <v>378.26496383000017</v>
      </c>
      <c r="I7" s="507">
        <v>1369.2735049999999</v>
      </c>
      <c r="J7" s="507">
        <v>212.4670840900001</v>
      </c>
      <c r="K7" s="507">
        <v>471.96400599999998</v>
      </c>
      <c r="L7" s="507">
        <v>200.74247999999997</v>
      </c>
      <c r="M7" s="507">
        <v>88.315014000000005</v>
      </c>
    </row>
    <row r="8" spans="1:23">
      <c r="A8" s="519">
        <v>2020</v>
      </c>
      <c r="B8" s="519" t="s">
        <v>336</v>
      </c>
      <c r="C8" s="508" t="s">
        <v>141</v>
      </c>
      <c r="D8" s="507">
        <v>1068.55485</v>
      </c>
      <c r="E8" s="507">
        <v>3143.9406589999999</v>
      </c>
      <c r="F8" s="507">
        <v>71.784829999999985</v>
      </c>
      <c r="G8" s="507">
        <v>282.46485699999999</v>
      </c>
      <c r="H8" s="507">
        <v>410.63946696999994</v>
      </c>
      <c r="I8" s="507">
        <v>1548.2812899999999</v>
      </c>
      <c r="J8" s="507">
        <v>150.28135575999997</v>
      </c>
      <c r="K8" s="507">
        <v>381.47668800000002</v>
      </c>
      <c r="L8" s="507">
        <v>125.11748999999999</v>
      </c>
      <c r="M8" s="507">
        <v>62.701262</v>
      </c>
    </row>
    <row r="9" spans="1:23">
      <c r="A9" s="519">
        <v>2020</v>
      </c>
      <c r="B9" s="519" t="s">
        <v>336</v>
      </c>
      <c r="C9" s="508" t="s">
        <v>142</v>
      </c>
      <c r="D9" s="507">
        <v>1048.7802200000001</v>
      </c>
      <c r="E9" s="507">
        <v>3037.0837000000001</v>
      </c>
      <c r="F9" s="507">
        <v>75.706100000000006</v>
      </c>
      <c r="G9" s="507">
        <v>303.91627199999999</v>
      </c>
      <c r="H9" s="507">
        <v>364.28906923999989</v>
      </c>
      <c r="I9" s="507">
        <v>1393.226171</v>
      </c>
      <c r="J9" s="507">
        <v>204.78027488999999</v>
      </c>
      <c r="K9" s="507">
        <v>550.67161499999997</v>
      </c>
      <c r="L9" s="507">
        <v>199.19053999999994</v>
      </c>
      <c r="M9" s="507">
        <v>94.779297</v>
      </c>
    </row>
    <row r="10" spans="1:23">
      <c r="A10" s="519">
        <v>2020</v>
      </c>
      <c r="B10" s="519" t="s">
        <v>336</v>
      </c>
      <c r="C10" s="508" t="s">
        <v>143</v>
      </c>
      <c r="D10" s="507">
        <v>1102.9961199999993</v>
      </c>
      <c r="E10" s="507">
        <v>3021.497249</v>
      </c>
      <c r="F10" s="507">
        <v>68.573459999999983</v>
      </c>
      <c r="G10" s="507">
        <v>254.94619800000001</v>
      </c>
      <c r="H10" s="507">
        <v>342.49610675999998</v>
      </c>
      <c r="I10" s="507">
        <v>1326.8911390000001</v>
      </c>
      <c r="J10" s="507">
        <v>129.65962309</v>
      </c>
      <c r="K10" s="507">
        <v>351.35468100000003</v>
      </c>
      <c r="L10" s="507">
        <v>170.05550999999997</v>
      </c>
      <c r="M10" s="507">
        <v>93.24239</v>
      </c>
    </row>
    <row r="11" spans="1:23">
      <c r="A11" s="519">
        <v>2020</v>
      </c>
      <c r="B11" s="519" t="s">
        <v>336</v>
      </c>
      <c r="C11" s="508" t="s">
        <v>133</v>
      </c>
      <c r="D11" s="507">
        <v>1172.3617799999997</v>
      </c>
      <c r="E11" s="507">
        <v>3046.973583</v>
      </c>
      <c r="F11" s="507">
        <v>80.610210000000009</v>
      </c>
      <c r="G11" s="507">
        <v>285.908095</v>
      </c>
      <c r="H11" s="507">
        <v>339.25959129000006</v>
      </c>
      <c r="I11" s="507">
        <v>1249.3659729999999</v>
      </c>
      <c r="J11" s="507">
        <v>176.51112605000003</v>
      </c>
      <c r="K11" s="507">
        <v>530.36203699999999</v>
      </c>
      <c r="L11" s="507">
        <v>188.86381999999998</v>
      </c>
      <c r="M11" s="507">
        <v>99.562360999999996</v>
      </c>
    </row>
    <row r="12" spans="1:23">
      <c r="A12" s="519">
        <v>2020</v>
      </c>
      <c r="B12" s="519" t="s">
        <v>336</v>
      </c>
      <c r="C12" s="508" t="s">
        <v>144</v>
      </c>
      <c r="D12" s="507">
        <v>1707.5925799999998</v>
      </c>
      <c r="E12" s="507">
        <v>4175.373036</v>
      </c>
      <c r="F12" s="507">
        <v>89.232759999999985</v>
      </c>
      <c r="G12" s="507">
        <v>292.808581</v>
      </c>
      <c r="H12" s="507">
        <v>380.86301652000014</v>
      </c>
      <c r="I12" s="507">
        <v>1402.721863</v>
      </c>
      <c r="J12" s="507">
        <v>150.9208313</v>
      </c>
      <c r="K12" s="507">
        <v>448.95610299999998</v>
      </c>
      <c r="L12" s="507">
        <v>285.54459000000003</v>
      </c>
      <c r="M12" s="507">
        <v>144.60290699999999</v>
      </c>
    </row>
    <row r="13" spans="1:23">
      <c r="A13" s="519">
        <v>2020</v>
      </c>
      <c r="B13" s="519" t="s">
        <v>336</v>
      </c>
      <c r="C13" s="508" t="s">
        <v>145</v>
      </c>
      <c r="D13" s="507">
        <v>1599.2654500000001</v>
      </c>
      <c r="E13" s="507">
        <v>4081.0086919999999</v>
      </c>
      <c r="F13" s="507">
        <v>82.482770000000002</v>
      </c>
      <c r="G13" s="507">
        <v>272.98812500000003</v>
      </c>
      <c r="H13" s="507">
        <v>356.69859479999997</v>
      </c>
      <c r="I13" s="507">
        <v>1255.83385</v>
      </c>
      <c r="J13" s="507">
        <v>238.47662564000004</v>
      </c>
      <c r="K13" s="507">
        <v>698.17721700000004</v>
      </c>
      <c r="L13" s="507">
        <v>237.0531</v>
      </c>
      <c r="M13" s="507">
        <v>119.139056</v>
      </c>
    </row>
    <row r="14" spans="1:23">
      <c r="A14" s="519">
        <v>2020</v>
      </c>
      <c r="B14" s="519" t="s">
        <v>336</v>
      </c>
      <c r="C14" s="508" t="s">
        <v>146</v>
      </c>
      <c r="D14" s="507">
        <v>1355.3646600000004</v>
      </c>
      <c r="E14" s="507">
        <v>3665.77016</v>
      </c>
      <c r="F14" s="507">
        <v>87.83559000000001</v>
      </c>
      <c r="G14" s="507">
        <v>291.15600499999999</v>
      </c>
      <c r="H14" s="507">
        <v>383.78504686000014</v>
      </c>
      <c r="I14" s="507">
        <v>1302.5346950000001</v>
      </c>
      <c r="J14" s="507">
        <v>203.94126297000005</v>
      </c>
      <c r="K14" s="507">
        <v>369.40732700000001</v>
      </c>
      <c r="L14" s="507">
        <v>224.43912</v>
      </c>
      <c r="M14" s="507">
        <v>106.45902700000001</v>
      </c>
    </row>
    <row r="15" spans="1:23">
      <c r="A15" s="519">
        <v>2020</v>
      </c>
      <c r="B15" s="519" t="s">
        <v>336</v>
      </c>
      <c r="C15" s="508" t="s">
        <v>147</v>
      </c>
      <c r="D15" s="507">
        <v>1491.6731100000002</v>
      </c>
      <c r="E15" s="507">
        <v>4247.6524769999996</v>
      </c>
      <c r="F15" s="507">
        <v>121.37564999999998</v>
      </c>
      <c r="G15" s="507">
        <v>407.13836099999997</v>
      </c>
      <c r="H15" s="507">
        <v>350.50330861999998</v>
      </c>
      <c r="I15" s="507">
        <v>1246.5318050000001</v>
      </c>
      <c r="J15" s="507">
        <v>233.1997535399999</v>
      </c>
      <c r="K15" s="507">
        <v>563.80189199999995</v>
      </c>
      <c r="L15" s="507">
        <v>283.79792000000003</v>
      </c>
      <c r="M15" s="507">
        <v>143.43683899999999</v>
      </c>
    </row>
    <row r="16" spans="1:23">
      <c r="A16" s="519">
        <v>2020</v>
      </c>
      <c r="B16" s="519" t="s">
        <v>336</v>
      </c>
      <c r="C16" s="508" t="s">
        <v>148</v>
      </c>
      <c r="D16" s="507">
        <v>1615.1137299999996</v>
      </c>
      <c r="E16" s="507">
        <v>4780.7670770000004</v>
      </c>
      <c r="F16" s="507">
        <v>130.13368000000006</v>
      </c>
      <c r="G16" s="507">
        <v>456.93426399999998</v>
      </c>
      <c r="H16" s="507">
        <v>327.94776111000016</v>
      </c>
      <c r="I16" s="507">
        <v>1279.094308</v>
      </c>
      <c r="J16" s="507">
        <v>181.20814510999998</v>
      </c>
      <c r="K16" s="507">
        <v>485.10156899999998</v>
      </c>
      <c r="L16" s="507">
        <v>242.54377000000002</v>
      </c>
      <c r="M16" s="507">
        <v>129.6208</v>
      </c>
    </row>
    <row r="17" spans="1:13">
      <c r="A17" s="519">
        <v>2020</v>
      </c>
      <c r="B17" s="519" t="s">
        <v>336</v>
      </c>
      <c r="C17" s="508" t="s">
        <v>149</v>
      </c>
      <c r="D17" s="507">
        <v>1176.4439399999999</v>
      </c>
      <c r="E17" s="507">
        <v>3560.5036949999999</v>
      </c>
      <c r="F17" s="507">
        <v>83.269319999999979</v>
      </c>
      <c r="G17" s="507">
        <v>315.53656999999998</v>
      </c>
      <c r="H17" s="507">
        <v>391.11653528000011</v>
      </c>
      <c r="I17" s="507">
        <v>1506.845421</v>
      </c>
      <c r="J17" s="507">
        <v>166.93438089999998</v>
      </c>
      <c r="K17" s="507">
        <v>350.28082899999998</v>
      </c>
      <c r="L17" s="507">
        <v>196.36272000000002</v>
      </c>
      <c r="M17" s="507">
        <v>110.472551</v>
      </c>
    </row>
    <row r="18" spans="1:13">
      <c r="A18" s="519">
        <v>2020</v>
      </c>
      <c r="B18" s="519" t="s">
        <v>336</v>
      </c>
      <c r="C18" s="508" t="s">
        <v>150</v>
      </c>
      <c r="D18" s="507">
        <v>1740.2370900000001</v>
      </c>
      <c r="E18" s="507">
        <v>5653.1336099999999</v>
      </c>
      <c r="F18" s="507">
        <v>155.80123000000003</v>
      </c>
      <c r="G18" s="507">
        <v>656.49733100000003</v>
      </c>
      <c r="H18" s="507">
        <v>379.41678805000004</v>
      </c>
      <c r="I18" s="507">
        <v>1534.578788</v>
      </c>
      <c r="J18" s="507">
        <v>247.73515467999997</v>
      </c>
      <c r="K18" s="507">
        <v>534.16697599999998</v>
      </c>
      <c r="L18" s="507">
        <v>175.73262</v>
      </c>
      <c r="M18" s="507">
        <v>102.824243</v>
      </c>
    </row>
    <row r="19" spans="1:13" ht="15">
      <c r="A19" s="520">
        <v>2020</v>
      </c>
      <c r="B19" s="520" t="s">
        <v>336</v>
      </c>
      <c r="C19" s="509" t="s">
        <v>0</v>
      </c>
      <c r="D19" s="510">
        <v>16215.948899999999</v>
      </c>
      <c r="E19" s="510">
        <v>45656.332713999996</v>
      </c>
      <c r="F19" s="510">
        <v>1139.9982</v>
      </c>
      <c r="G19" s="510">
        <v>4150.8064530000001</v>
      </c>
      <c r="H19" s="510">
        <v>4405.2802493299996</v>
      </c>
      <c r="I19" s="510">
        <v>16415.178808000001</v>
      </c>
      <c r="J19" s="510">
        <v>2296.1156180200001</v>
      </c>
      <c r="K19" s="510">
        <v>5735.7209400000002</v>
      </c>
      <c r="L19" s="510">
        <v>2529.4436800000003</v>
      </c>
      <c r="M19" s="510">
        <v>1295.155747</v>
      </c>
    </row>
    <row r="20" spans="1:13">
      <c r="A20" s="519">
        <v>2020</v>
      </c>
      <c r="B20" s="518" t="s">
        <v>335</v>
      </c>
      <c r="C20" s="508" t="s">
        <v>140</v>
      </c>
      <c r="D20" s="511">
        <v>146.52554999999995</v>
      </c>
      <c r="E20" s="511">
        <v>401.149899</v>
      </c>
      <c r="F20" s="507">
        <v>48.720469999999999</v>
      </c>
      <c r="G20" s="507">
        <v>162.38403400000001</v>
      </c>
      <c r="H20" s="507">
        <v>80.082455589999981</v>
      </c>
      <c r="I20" s="507">
        <v>377.16639900000001</v>
      </c>
      <c r="J20" s="507">
        <v>55.31815228</v>
      </c>
      <c r="K20" s="507">
        <v>163.114982</v>
      </c>
      <c r="L20" s="512" t="s">
        <v>352</v>
      </c>
      <c r="M20" s="512" t="s">
        <v>352</v>
      </c>
    </row>
    <row r="21" spans="1:13">
      <c r="A21" s="519">
        <v>2020</v>
      </c>
      <c r="B21" s="519" t="s">
        <v>335</v>
      </c>
      <c r="C21" s="508" t="s">
        <v>141</v>
      </c>
      <c r="D21" s="507">
        <v>80.520809999999983</v>
      </c>
      <c r="E21" s="507">
        <v>232.227442</v>
      </c>
      <c r="F21" s="507">
        <v>18.228940000000001</v>
      </c>
      <c r="G21" s="507">
        <v>63.652330999999997</v>
      </c>
      <c r="H21" s="507">
        <v>76.368792730000024</v>
      </c>
      <c r="I21" s="507">
        <v>345.81336900000002</v>
      </c>
      <c r="J21" s="507">
        <v>31.669707249999998</v>
      </c>
      <c r="K21" s="507">
        <v>103.74254000000001</v>
      </c>
      <c r="L21" s="512" t="s">
        <v>352</v>
      </c>
      <c r="M21" s="512" t="s">
        <v>352</v>
      </c>
    </row>
    <row r="22" spans="1:13">
      <c r="A22" s="519">
        <v>2020</v>
      </c>
      <c r="B22" s="519" t="s">
        <v>335</v>
      </c>
      <c r="C22" s="508" t="s">
        <v>142</v>
      </c>
      <c r="D22" s="507">
        <v>123.12980999999999</v>
      </c>
      <c r="E22" s="507">
        <v>356.88258999999999</v>
      </c>
      <c r="F22" s="507">
        <v>23.101659999999995</v>
      </c>
      <c r="G22" s="507">
        <v>82.645989999999998</v>
      </c>
      <c r="H22" s="507">
        <v>111.14810659000001</v>
      </c>
      <c r="I22" s="507">
        <v>479.834183</v>
      </c>
      <c r="J22" s="507">
        <v>29.165194019999998</v>
      </c>
      <c r="K22" s="507">
        <v>96.591448999999997</v>
      </c>
      <c r="L22" s="512" t="s">
        <v>352</v>
      </c>
      <c r="M22" s="512" t="s">
        <v>352</v>
      </c>
    </row>
    <row r="23" spans="1:13">
      <c r="A23" s="519">
        <v>2020</v>
      </c>
      <c r="B23" s="519" t="s">
        <v>335</v>
      </c>
      <c r="C23" s="508" t="s">
        <v>143</v>
      </c>
      <c r="D23" s="507">
        <v>68.54713000000001</v>
      </c>
      <c r="E23" s="507">
        <v>183.45762099999999</v>
      </c>
      <c r="F23" s="507">
        <v>23.763219999999997</v>
      </c>
      <c r="G23" s="507">
        <v>80.483894000000006</v>
      </c>
      <c r="H23" s="507">
        <v>91.852023299999999</v>
      </c>
      <c r="I23" s="507">
        <v>393.031901</v>
      </c>
      <c r="J23" s="507">
        <v>37.691928969999999</v>
      </c>
      <c r="K23" s="507">
        <v>122.11321</v>
      </c>
      <c r="L23" s="512" t="s">
        <v>352</v>
      </c>
      <c r="M23" s="512" t="s">
        <v>352</v>
      </c>
    </row>
    <row r="24" spans="1:13">
      <c r="A24" s="519">
        <v>2020</v>
      </c>
      <c r="B24" s="519" t="s">
        <v>335</v>
      </c>
      <c r="C24" s="508" t="s">
        <v>133</v>
      </c>
      <c r="D24" s="507">
        <v>43.652920000000002</v>
      </c>
      <c r="E24" s="507">
        <v>104.45940299999999</v>
      </c>
      <c r="F24" s="507">
        <v>8.5502599999999997</v>
      </c>
      <c r="G24" s="507">
        <v>25.032771</v>
      </c>
      <c r="H24" s="507">
        <v>70.78019239999999</v>
      </c>
      <c r="I24" s="507">
        <v>320.60382099999998</v>
      </c>
      <c r="J24" s="507">
        <v>36.928228990000001</v>
      </c>
      <c r="K24" s="507">
        <v>105.675721</v>
      </c>
      <c r="L24" s="512" t="s">
        <v>352</v>
      </c>
      <c r="M24" s="512" t="s">
        <v>352</v>
      </c>
    </row>
    <row r="25" spans="1:13">
      <c r="A25" s="519">
        <v>2020</v>
      </c>
      <c r="B25" s="519" t="s">
        <v>335</v>
      </c>
      <c r="C25" s="508" t="s">
        <v>144</v>
      </c>
      <c r="D25" s="507">
        <v>50.139229999999998</v>
      </c>
      <c r="E25" s="507">
        <v>119.23549300000001</v>
      </c>
      <c r="F25" s="507">
        <v>16.62595</v>
      </c>
      <c r="G25" s="507">
        <v>45.526254000000002</v>
      </c>
      <c r="H25" s="507">
        <v>76.055128310000029</v>
      </c>
      <c r="I25" s="507">
        <v>334.177459</v>
      </c>
      <c r="J25" s="507">
        <v>60.160250779999984</v>
      </c>
      <c r="K25" s="507">
        <v>179.095145</v>
      </c>
      <c r="L25" s="562">
        <v>0.48072999999999999</v>
      </c>
      <c r="M25" s="562">
        <v>0.36826300000000001</v>
      </c>
    </row>
    <row r="26" spans="1:13">
      <c r="A26" s="519">
        <v>2020</v>
      </c>
      <c r="B26" s="519" t="s">
        <v>335</v>
      </c>
      <c r="C26" s="508" t="s">
        <v>145</v>
      </c>
      <c r="D26" s="507">
        <v>63.628179999999993</v>
      </c>
      <c r="E26" s="507">
        <v>155.857167</v>
      </c>
      <c r="F26" s="507">
        <v>29.038739999999997</v>
      </c>
      <c r="G26" s="507">
        <v>82.598733999999993</v>
      </c>
      <c r="H26" s="507">
        <v>85.880813019999991</v>
      </c>
      <c r="I26" s="507">
        <v>337.27044799999999</v>
      </c>
      <c r="J26" s="507">
        <v>52.93701329999999</v>
      </c>
      <c r="K26" s="507">
        <v>144.237717</v>
      </c>
      <c r="L26" s="561" t="s">
        <v>352</v>
      </c>
      <c r="M26" s="561" t="s">
        <v>352</v>
      </c>
    </row>
    <row r="27" spans="1:13">
      <c r="A27" s="519">
        <v>2020</v>
      </c>
      <c r="B27" s="519" t="s">
        <v>335</v>
      </c>
      <c r="C27" s="508" t="s">
        <v>146</v>
      </c>
      <c r="D27" s="507">
        <v>35.137269999999994</v>
      </c>
      <c r="E27" s="507">
        <v>90.086695000000006</v>
      </c>
      <c r="F27" s="507">
        <v>14.31723</v>
      </c>
      <c r="G27" s="507">
        <v>39.574401000000002</v>
      </c>
      <c r="H27" s="507">
        <v>90.534542920000021</v>
      </c>
      <c r="I27" s="507">
        <v>364.50028400000002</v>
      </c>
      <c r="J27" s="507">
        <v>50.947375409999992</v>
      </c>
      <c r="K27" s="507">
        <v>139.17664099999999</v>
      </c>
      <c r="L27" s="512" t="s">
        <v>352</v>
      </c>
      <c r="M27" s="512" t="s">
        <v>352</v>
      </c>
    </row>
    <row r="28" spans="1:13">
      <c r="A28" s="519">
        <v>2020</v>
      </c>
      <c r="B28" s="519" t="s">
        <v>335</v>
      </c>
      <c r="C28" s="508" t="s">
        <v>147</v>
      </c>
      <c r="D28" s="507">
        <v>84.409780000000012</v>
      </c>
      <c r="E28" s="507">
        <v>240.29564099999999</v>
      </c>
      <c r="F28" s="507">
        <v>19.715959999999999</v>
      </c>
      <c r="G28" s="507">
        <v>58.735729999999997</v>
      </c>
      <c r="H28" s="507">
        <v>77.077084650000003</v>
      </c>
      <c r="I28" s="507">
        <v>362.11765500000001</v>
      </c>
      <c r="J28" s="507">
        <v>63.845148379999998</v>
      </c>
      <c r="K28" s="507">
        <v>178.78401400000001</v>
      </c>
      <c r="L28" s="512" t="s">
        <v>352</v>
      </c>
      <c r="M28" s="512" t="s">
        <v>352</v>
      </c>
    </row>
    <row r="29" spans="1:13">
      <c r="A29" s="519">
        <v>2020</v>
      </c>
      <c r="B29" s="519" t="s">
        <v>335</v>
      </c>
      <c r="C29" s="508" t="s">
        <v>148</v>
      </c>
      <c r="D29" s="507">
        <v>59.91986</v>
      </c>
      <c r="E29" s="507">
        <v>181.076348</v>
      </c>
      <c r="F29" s="507">
        <v>17.06147</v>
      </c>
      <c r="G29" s="507">
        <v>51.854743999999997</v>
      </c>
      <c r="H29" s="507">
        <v>85.291858100000013</v>
      </c>
      <c r="I29" s="507">
        <v>393.933854</v>
      </c>
      <c r="J29" s="507">
        <v>52.295253980000005</v>
      </c>
      <c r="K29" s="507">
        <v>152.78870000000001</v>
      </c>
      <c r="L29" s="512" t="s">
        <v>352</v>
      </c>
      <c r="M29" s="512" t="s">
        <v>352</v>
      </c>
    </row>
    <row r="30" spans="1:13">
      <c r="A30" s="519">
        <v>2020</v>
      </c>
      <c r="B30" s="519" t="s">
        <v>335</v>
      </c>
      <c r="C30" s="508" t="s">
        <v>149</v>
      </c>
      <c r="D30" s="507">
        <v>111.27551</v>
      </c>
      <c r="E30" s="507">
        <v>367.88127600000001</v>
      </c>
      <c r="F30" s="507">
        <v>40.815750000000001</v>
      </c>
      <c r="G30" s="507">
        <v>153.972084</v>
      </c>
      <c r="H30" s="507">
        <v>86.524732830000005</v>
      </c>
      <c r="I30" s="507">
        <v>395.21829400000001</v>
      </c>
      <c r="J30" s="507">
        <v>34.460230790000004</v>
      </c>
      <c r="K30" s="507">
        <v>99.138245999999995</v>
      </c>
      <c r="L30" s="512" t="s">
        <v>352</v>
      </c>
      <c r="M30" s="512" t="s">
        <v>352</v>
      </c>
    </row>
    <row r="31" spans="1:13">
      <c r="A31" s="519">
        <v>2020</v>
      </c>
      <c r="B31" s="519" t="s">
        <v>335</v>
      </c>
      <c r="C31" s="508" t="s">
        <v>150</v>
      </c>
      <c r="D31" s="507">
        <v>286.40525000000002</v>
      </c>
      <c r="E31" s="507">
        <v>1007.186681</v>
      </c>
      <c r="F31" s="507">
        <v>40.713829999999987</v>
      </c>
      <c r="G31" s="507">
        <v>185.46267</v>
      </c>
      <c r="H31" s="507">
        <v>111.14814274</v>
      </c>
      <c r="I31" s="507">
        <v>491.075129</v>
      </c>
      <c r="J31" s="507">
        <v>41.296698950000007</v>
      </c>
      <c r="K31" s="507">
        <v>128.354918</v>
      </c>
      <c r="L31" s="512" t="s">
        <v>352</v>
      </c>
      <c r="M31" s="512" t="s">
        <v>352</v>
      </c>
    </row>
    <row r="32" spans="1:13" ht="15">
      <c r="A32" s="520">
        <v>2020</v>
      </c>
      <c r="B32" s="520" t="s">
        <v>335</v>
      </c>
      <c r="C32" s="521" t="s">
        <v>0</v>
      </c>
      <c r="D32" s="510">
        <v>1153.2913000000001</v>
      </c>
      <c r="E32" s="510">
        <v>3439.7962560000001</v>
      </c>
      <c r="F32" s="510">
        <v>300.65348</v>
      </c>
      <c r="G32" s="510">
        <v>1031.9236370000001</v>
      </c>
      <c r="H32" s="510">
        <v>1042.74387318</v>
      </c>
      <c r="I32" s="510">
        <v>4594.7427960000005</v>
      </c>
      <c r="J32" s="510">
        <v>546.71518309999988</v>
      </c>
      <c r="K32" s="510">
        <v>1612.813283</v>
      </c>
      <c r="L32" s="510">
        <v>0.48072999999999999</v>
      </c>
      <c r="M32" s="510">
        <v>0.36826300000000001</v>
      </c>
    </row>
    <row r="33" spans="1:1">
      <c r="A33" s="503" t="s">
        <v>343</v>
      </c>
    </row>
    <row r="34" spans="1:1">
      <c r="A34" s="504" t="s">
        <v>344</v>
      </c>
    </row>
    <row r="35" spans="1:1">
      <c r="A35" s="504" t="s">
        <v>345</v>
      </c>
    </row>
    <row r="36" spans="1:1">
      <c r="A36" s="522" t="s">
        <v>353</v>
      </c>
    </row>
  </sheetData>
  <mergeCells count="10">
    <mergeCell ref="J5:K5"/>
    <mergeCell ref="L5:M5"/>
    <mergeCell ref="A3:M3"/>
    <mergeCell ref="A2:M2"/>
    <mergeCell ref="A5:A6"/>
    <mergeCell ref="B5:B6"/>
    <mergeCell ref="C5:C6"/>
    <mergeCell ref="D5:E5"/>
    <mergeCell ref="F5:G5"/>
    <mergeCell ref="H5:I5"/>
  </mergeCells>
  <printOptions horizontalCentered="1"/>
  <pageMargins left="0" right="0" top="0" bottom="0" header="0" footer="0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view="pageBreakPreview" zoomScaleNormal="100" zoomScaleSheetLayoutView="100" workbookViewId="0">
      <pane xSplit="1" ySplit="6" topLeftCell="H7" activePane="bottomRight" state="frozen"/>
      <selection activeCell="H38" sqref="H38"/>
      <selection pane="topRight" activeCell="H38" sqref="H38"/>
      <selection pane="bottomLeft" activeCell="H38" sqref="H38"/>
      <selection pane="bottomRight" activeCell="H38" sqref="H38"/>
    </sheetView>
  </sheetViews>
  <sheetFormatPr defaultColWidth="8.1640625" defaultRowHeight="17.25" customHeight="1"/>
  <cols>
    <col min="1" max="1" width="34.5" style="147" customWidth="1"/>
    <col min="2" max="5" width="17" style="147" customWidth="1"/>
    <col min="6" max="9" width="17" style="56" customWidth="1"/>
    <col min="10" max="23" width="17" style="147" customWidth="1"/>
    <col min="24" max="16384" width="8.1640625" style="147"/>
  </cols>
  <sheetData>
    <row r="1" spans="1:23" s="150" customFormat="1" ht="17.25" customHeight="1">
      <c r="B1" s="481"/>
      <c r="C1" s="481"/>
      <c r="D1" s="481"/>
      <c r="E1" s="481"/>
      <c r="F1" s="10"/>
      <c r="G1" s="10"/>
      <c r="H1" s="10"/>
      <c r="I1" s="10"/>
    </row>
    <row r="2" spans="1:23" s="150" customFormat="1" ht="17.25" customHeight="1">
      <c r="A2" s="592" t="s">
        <v>216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2"/>
      <c r="W2" s="592"/>
    </row>
    <row r="3" spans="1:23" s="150" customFormat="1" ht="17.25" customHeight="1">
      <c r="A3" s="592" t="s">
        <v>302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</row>
    <row r="4" spans="1:23" s="150" customFormat="1" ht="17.25" customHeight="1">
      <c r="A4" s="156"/>
      <c r="B4" s="156"/>
      <c r="C4" s="156"/>
      <c r="D4" s="156"/>
      <c r="E4" s="156"/>
      <c r="F4" s="16"/>
      <c r="G4" s="16"/>
      <c r="H4" s="16"/>
      <c r="I4" s="16"/>
      <c r="R4" s="430"/>
      <c r="S4" s="430"/>
    </row>
    <row r="5" spans="1:23" s="150" customFormat="1" ht="17.25" customHeight="1">
      <c r="A5" s="599" t="s">
        <v>200</v>
      </c>
      <c r="B5" s="596">
        <v>2010</v>
      </c>
      <c r="C5" s="597"/>
      <c r="D5" s="596">
        <v>2011</v>
      </c>
      <c r="E5" s="598"/>
      <c r="F5" s="594">
        <v>2012</v>
      </c>
      <c r="G5" s="595"/>
      <c r="H5" s="594">
        <v>2013</v>
      </c>
      <c r="I5" s="595"/>
      <c r="J5" s="594">
        <v>2014</v>
      </c>
      <c r="K5" s="595"/>
      <c r="L5" s="594">
        <v>2015</v>
      </c>
      <c r="M5" s="595"/>
      <c r="N5" s="594">
        <v>2016</v>
      </c>
      <c r="O5" s="595"/>
      <c r="P5" s="594">
        <v>2017</v>
      </c>
      <c r="Q5" s="595"/>
      <c r="R5" s="594">
        <v>2018</v>
      </c>
      <c r="S5" s="595"/>
      <c r="T5" s="594" t="s">
        <v>300</v>
      </c>
      <c r="U5" s="595"/>
      <c r="V5" s="594" t="s">
        <v>301</v>
      </c>
      <c r="W5" s="595"/>
    </row>
    <row r="6" spans="1:23" s="150" customFormat="1" ht="45">
      <c r="A6" s="600"/>
      <c r="B6" s="151" t="s">
        <v>201</v>
      </c>
      <c r="C6" s="152" t="s">
        <v>202</v>
      </c>
      <c r="D6" s="151" t="s">
        <v>201</v>
      </c>
      <c r="E6" s="152" t="s">
        <v>202</v>
      </c>
      <c r="F6" s="151" t="s">
        <v>201</v>
      </c>
      <c r="G6" s="152" t="s">
        <v>202</v>
      </c>
      <c r="H6" s="151" t="s">
        <v>201</v>
      </c>
      <c r="I6" s="152" t="s">
        <v>202</v>
      </c>
      <c r="J6" s="151" t="s">
        <v>201</v>
      </c>
      <c r="K6" s="152" t="s">
        <v>202</v>
      </c>
      <c r="L6" s="151" t="s">
        <v>201</v>
      </c>
      <c r="M6" s="152" t="s">
        <v>202</v>
      </c>
      <c r="N6" s="151" t="s">
        <v>201</v>
      </c>
      <c r="O6" s="152" t="s">
        <v>202</v>
      </c>
      <c r="P6" s="151" t="s">
        <v>201</v>
      </c>
      <c r="Q6" s="152" t="s">
        <v>202</v>
      </c>
      <c r="R6" s="151" t="s">
        <v>201</v>
      </c>
      <c r="S6" s="152" t="s">
        <v>202</v>
      </c>
      <c r="T6" s="151" t="s">
        <v>201</v>
      </c>
      <c r="U6" s="152" t="s">
        <v>202</v>
      </c>
      <c r="V6" s="151" t="s">
        <v>201</v>
      </c>
      <c r="W6" s="152" t="s">
        <v>202</v>
      </c>
    </row>
    <row r="7" spans="1:23" s="150" customFormat="1" ht="17.25" customHeight="1">
      <c r="A7" s="153" t="s">
        <v>12</v>
      </c>
      <c r="B7" s="300">
        <v>16944.77</v>
      </c>
      <c r="C7" s="300">
        <v>45322.03</v>
      </c>
      <c r="D7" s="300">
        <v>18265.984109999998</v>
      </c>
      <c r="E7" s="300">
        <v>60993.21</v>
      </c>
      <c r="F7" s="299">
        <v>17844.03</v>
      </c>
      <c r="G7" s="299">
        <v>53607.1</v>
      </c>
      <c r="H7" s="299">
        <v>17794.615310000001</v>
      </c>
      <c r="I7" s="299">
        <v>44141.531727000001</v>
      </c>
      <c r="J7" s="299">
        <v>16572.517180000003</v>
      </c>
      <c r="K7" s="299">
        <v>42809.396244000003</v>
      </c>
      <c r="L7" s="299">
        <v>16866.180919999999</v>
      </c>
      <c r="M7" s="299">
        <v>40118.231821000001</v>
      </c>
      <c r="N7" s="299">
        <v>15309.92361</v>
      </c>
      <c r="O7" s="299">
        <v>41442.91174499999</v>
      </c>
      <c r="P7" s="299">
        <v>15187.731489999998</v>
      </c>
      <c r="Q7" s="299">
        <v>46085.418310000001</v>
      </c>
      <c r="R7" s="299">
        <v>15363.858689999992</v>
      </c>
      <c r="S7" s="299">
        <v>38655.127031999997</v>
      </c>
      <c r="T7" s="299">
        <v>17428.689999999999</v>
      </c>
      <c r="U7" s="299">
        <v>39128.22</v>
      </c>
      <c r="V7" s="299">
        <v>16215.948899999999</v>
      </c>
      <c r="W7" s="299">
        <v>45656.332713999996</v>
      </c>
    </row>
    <row r="8" spans="1:23" s="150" customFormat="1" ht="17.25" customHeight="1">
      <c r="A8" s="153" t="s">
        <v>259</v>
      </c>
      <c r="B8" s="300">
        <v>2880.0827200000003</v>
      </c>
      <c r="C8" s="300">
        <v>7432.2693239999999</v>
      </c>
      <c r="D8" s="300">
        <v>3678.0958499999997</v>
      </c>
      <c r="E8" s="300">
        <v>11538.001478</v>
      </c>
      <c r="F8" s="299">
        <v>4801.8742699999993</v>
      </c>
      <c r="G8" s="299">
        <v>13802.908492</v>
      </c>
      <c r="H8" s="299">
        <v>3963.18622</v>
      </c>
      <c r="I8" s="299">
        <v>9416.7155540000003</v>
      </c>
      <c r="J8" s="299">
        <v>4619.3365199999998</v>
      </c>
      <c r="K8" s="299">
        <v>11219.100571999999</v>
      </c>
      <c r="L8" s="303">
        <v>5445.7077799999997</v>
      </c>
      <c r="M8" s="303">
        <v>11985.185567</v>
      </c>
      <c r="N8" s="299">
        <v>3840.76991</v>
      </c>
      <c r="O8" s="299">
        <v>9691.3882009999998</v>
      </c>
      <c r="P8" s="299">
        <v>2787.560410000001</v>
      </c>
      <c r="Q8" s="299">
        <v>8074.2672160000002</v>
      </c>
      <c r="R8" s="299">
        <v>3341.7709199999999</v>
      </c>
      <c r="S8" s="299">
        <v>7821.0662499999999</v>
      </c>
      <c r="T8" s="299">
        <v>3933.77</v>
      </c>
      <c r="U8" s="299">
        <v>8056.76</v>
      </c>
      <c r="V8" s="299">
        <v>4503.9857899999997</v>
      </c>
      <c r="W8" s="299">
        <v>12324.05702</v>
      </c>
    </row>
    <row r="9" spans="1:23" s="150" customFormat="1" ht="17.25" customHeight="1">
      <c r="A9" s="153" t="s">
        <v>258</v>
      </c>
      <c r="B9" s="299">
        <f t="shared" ref="B9:M9" si="0">B7-B8</f>
        <v>14064.68728</v>
      </c>
      <c r="C9" s="299">
        <f t="shared" si="0"/>
        <v>37889.760675999998</v>
      </c>
      <c r="D9" s="299">
        <f t="shared" si="0"/>
        <v>14587.888259999998</v>
      </c>
      <c r="E9" s="299">
        <f t="shared" si="0"/>
        <v>49455.208522000001</v>
      </c>
      <c r="F9" s="299">
        <f t="shared" si="0"/>
        <v>13042.155729999999</v>
      </c>
      <c r="G9" s="299">
        <f t="shared" si="0"/>
        <v>39804.191507999996</v>
      </c>
      <c r="H9" s="299">
        <f t="shared" si="0"/>
        <v>13831.429090000001</v>
      </c>
      <c r="I9" s="299">
        <f t="shared" si="0"/>
        <v>34724.816172999999</v>
      </c>
      <c r="J9" s="299">
        <f t="shared" si="0"/>
        <v>11953.180660000002</v>
      </c>
      <c r="K9" s="299">
        <f t="shared" si="0"/>
        <v>31590.295672000004</v>
      </c>
      <c r="L9" s="299">
        <f t="shared" si="0"/>
        <v>11420.473139999998</v>
      </c>
      <c r="M9" s="299">
        <f t="shared" si="0"/>
        <v>28133.046254000001</v>
      </c>
      <c r="N9" s="299">
        <f>N7-N8</f>
        <v>11469.153699999999</v>
      </c>
      <c r="O9" s="299">
        <f>O7-O8</f>
        <v>31751.523543999989</v>
      </c>
      <c r="P9" s="299">
        <v>12400.171079999996</v>
      </c>
      <c r="Q9" s="299">
        <v>38011.151094000001</v>
      </c>
      <c r="R9" s="299">
        <v>12.022087769999992</v>
      </c>
      <c r="S9" s="299">
        <v>3.0834060781999996E-2</v>
      </c>
      <c r="T9" s="299">
        <v>13494.91</v>
      </c>
      <c r="U9" s="299">
        <v>31071.46</v>
      </c>
      <c r="V9" s="299">
        <v>11711.963110000001</v>
      </c>
      <c r="W9" s="299">
        <v>33332.275693999996</v>
      </c>
    </row>
    <row r="10" spans="1:23" s="150" customFormat="1" ht="17.25" customHeight="1">
      <c r="A10" s="154" t="s">
        <v>4</v>
      </c>
      <c r="B10" s="300">
        <v>1021.43</v>
      </c>
      <c r="C10" s="300">
        <v>3842.16</v>
      </c>
      <c r="D10" s="300">
        <v>1077.24056</v>
      </c>
      <c r="E10" s="300">
        <v>5573.01</v>
      </c>
      <c r="F10" s="299">
        <v>1006.17</v>
      </c>
      <c r="G10" s="299">
        <v>3824.98</v>
      </c>
      <c r="H10" s="299">
        <v>1124.3423899999998</v>
      </c>
      <c r="I10" s="299">
        <v>3277.6177969999999</v>
      </c>
      <c r="J10" s="299">
        <v>1083.92228</v>
      </c>
      <c r="K10" s="299">
        <v>4112.9391189999997</v>
      </c>
      <c r="L10" s="299">
        <v>1054.42056</v>
      </c>
      <c r="M10" s="299">
        <v>4037.4778620000002</v>
      </c>
      <c r="N10" s="299">
        <v>966.2582000000001</v>
      </c>
      <c r="O10" s="299">
        <v>5095.8074020000004</v>
      </c>
      <c r="P10" s="299">
        <v>980.61400000000026</v>
      </c>
      <c r="Q10" s="299">
        <v>5774.2849550000001</v>
      </c>
      <c r="R10" s="299">
        <v>906.30729000000019</v>
      </c>
      <c r="S10" s="299">
        <v>4092.9720729999999</v>
      </c>
      <c r="T10" s="299">
        <v>1006.5</v>
      </c>
      <c r="U10" s="299">
        <v>3305.81</v>
      </c>
      <c r="V10" s="299">
        <v>1139.9982</v>
      </c>
      <c r="W10" s="299">
        <v>4150.8064530000001</v>
      </c>
    </row>
    <row r="11" spans="1:23" s="150" customFormat="1" ht="17.25" customHeight="1">
      <c r="A11" s="153" t="s">
        <v>257</v>
      </c>
      <c r="B11" s="300">
        <v>174.90011999999999</v>
      </c>
      <c r="C11" s="300">
        <v>611.71874200000002</v>
      </c>
      <c r="D11" s="300">
        <v>226.17719</v>
      </c>
      <c r="E11" s="300">
        <v>992.80082600000003</v>
      </c>
      <c r="F11" s="299">
        <v>224.92473000000001</v>
      </c>
      <c r="G11" s="299">
        <v>693.49167199999999</v>
      </c>
      <c r="H11" s="299">
        <v>260.78190000000001</v>
      </c>
      <c r="I11" s="299">
        <v>648.35601999999994</v>
      </c>
      <c r="J11" s="299">
        <v>303.00799000000001</v>
      </c>
      <c r="K11" s="299">
        <v>991.13573299999996</v>
      </c>
      <c r="L11" s="299">
        <v>294.01294999999999</v>
      </c>
      <c r="M11" s="299">
        <v>962.44940199999996</v>
      </c>
      <c r="N11" s="299">
        <v>291.12817999999999</v>
      </c>
      <c r="O11" s="299">
        <v>1433.4573069999999</v>
      </c>
      <c r="P11" s="299">
        <v>301.57383000000004</v>
      </c>
      <c r="Q11" s="299">
        <v>1602.091899</v>
      </c>
      <c r="R11" s="299">
        <v>340.02047000000005</v>
      </c>
      <c r="S11" s="299">
        <v>1325.188862</v>
      </c>
      <c r="T11" s="299">
        <v>647.82000000000005</v>
      </c>
      <c r="U11" s="299">
        <v>905.99</v>
      </c>
      <c r="V11" s="299">
        <v>460.67</v>
      </c>
      <c r="W11" s="299">
        <v>1536.4458979999999</v>
      </c>
    </row>
    <row r="12" spans="1:23" s="150" customFormat="1" ht="17.25" customHeight="1">
      <c r="A12" s="153" t="s">
        <v>256</v>
      </c>
      <c r="B12" s="299">
        <f t="shared" ref="B12:M12" si="1">B10-B11</f>
        <v>846.52987999999993</v>
      </c>
      <c r="C12" s="299">
        <f t="shared" si="1"/>
        <v>3230.4412579999998</v>
      </c>
      <c r="D12" s="299">
        <f t="shared" si="1"/>
        <v>851.06336999999996</v>
      </c>
      <c r="E12" s="299">
        <f t="shared" si="1"/>
        <v>4580.2091740000005</v>
      </c>
      <c r="F12" s="299">
        <f t="shared" si="1"/>
        <v>781.24526999999989</v>
      </c>
      <c r="G12" s="299">
        <f t="shared" si="1"/>
        <v>3131.4883279999999</v>
      </c>
      <c r="H12" s="299">
        <f t="shared" si="1"/>
        <v>863.56048999999985</v>
      </c>
      <c r="I12" s="299">
        <f t="shared" si="1"/>
        <v>2629.2617769999997</v>
      </c>
      <c r="J12" s="299">
        <f t="shared" si="1"/>
        <v>780.91428999999994</v>
      </c>
      <c r="K12" s="299">
        <f t="shared" si="1"/>
        <v>3121.8033859999996</v>
      </c>
      <c r="L12" s="299">
        <f t="shared" si="1"/>
        <v>760.40760999999998</v>
      </c>
      <c r="M12" s="299">
        <f t="shared" si="1"/>
        <v>3075.0284600000005</v>
      </c>
      <c r="N12" s="299">
        <f>N10-N11</f>
        <v>675.13002000000006</v>
      </c>
      <c r="O12" s="299">
        <f>O10-O11</f>
        <v>3662.3500950000007</v>
      </c>
      <c r="P12" s="299">
        <v>679.04017000000022</v>
      </c>
      <c r="Q12" s="299">
        <v>4172.1930560000001</v>
      </c>
      <c r="R12" s="299">
        <v>0.56628682000000019</v>
      </c>
      <c r="S12" s="299">
        <v>2.7677832109999998E-3</v>
      </c>
      <c r="T12" s="299">
        <v>358.69</v>
      </c>
      <c r="U12" s="299">
        <v>2399.8200000000002</v>
      </c>
      <c r="V12" s="299">
        <v>679.32819999999992</v>
      </c>
      <c r="W12" s="299">
        <v>2614.3605550000002</v>
      </c>
    </row>
    <row r="13" spans="1:23" s="150" customFormat="1" ht="17.25" customHeight="1">
      <c r="A13" s="154" t="s">
        <v>255</v>
      </c>
      <c r="B13" s="300">
        <v>3188.46</v>
      </c>
      <c r="C13" s="300">
        <v>10363.4</v>
      </c>
      <c r="D13" s="300">
        <v>2892.8206304999999</v>
      </c>
      <c r="E13" s="300">
        <v>13339.89</v>
      </c>
      <c r="F13" s="299">
        <v>3354.09</v>
      </c>
      <c r="G13" s="299">
        <v>12731.999</v>
      </c>
      <c r="H13" s="299">
        <v>3841.5523792799995</v>
      </c>
      <c r="I13" s="299">
        <v>12634.268874000001</v>
      </c>
      <c r="J13" s="299">
        <v>4294.4444294399991</v>
      </c>
      <c r="K13" s="299">
        <v>14853.790752000001</v>
      </c>
      <c r="L13" s="299">
        <v>4135.0886502499998</v>
      </c>
      <c r="M13" s="299">
        <v>14860.835487</v>
      </c>
      <c r="N13" s="299">
        <v>4095.1214927699993</v>
      </c>
      <c r="O13" s="299">
        <v>16838.242561999999</v>
      </c>
      <c r="P13" s="299">
        <v>4419.29974958</v>
      </c>
      <c r="Q13" s="299">
        <v>20395.893480999999</v>
      </c>
      <c r="R13" s="299">
        <v>4809.8215527400052</v>
      </c>
      <c r="S13" s="299">
        <v>19114.866076999999</v>
      </c>
      <c r="T13" s="299">
        <v>5462.91</v>
      </c>
      <c r="U13" s="299">
        <v>18121.32</v>
      </c>
      <c r="V13" s="299">
        <v>4405.2802493300005</v>
      </c>
      <c r="W13" s="299">
        <v>16415.178808000001</v>
      </c>
    </row>
    <row r="14" spans="1:23" s="150" customFormat="1" ht="17.25" customHeight="1">
      <c r="A14" s="154" t="s">
        <v>254</v>
      </c>
      <c r="B14" s="302">
        <v>534.30999999999995</v>
      </c>
      <c r="C14" s="302">
        <v>2047.65</v>
      </c>
      <c r="D14" s="302">
        <v>516.49145622000003</v>
      </c>
      <c r="E14" s="302">
        <v>2441.23</v>
      </c>
      <c r="F14" s="301">
        <v>479.69</v>
      </c>
      <c r="G14" s="301">
        <v>2080.5300000000002</v>
      </c>
      <c r="H14" s="301">
        <v>497.09212823999991</v>
      </c>
      <c r="I14" s="301">
        <v>1905.6368479999999</v>
      </c>
      <c r="J14" s="299">
        <v>1402.2134778399998</v>
      </c>
      <c r="K14" s="299">
        <v>3097.2112729999999</v>
      </c>
      <c r="L14" s="301">
        <v>1425.3876185300001</v>
      </c>
      <c r="M14" s="301">
        <v>3299.1789549999999</v>
      </c>
      <c r="N14" s="301">
        <v>1498.5111649099995</v>
      </c>
      <c r="O14" s="301">
        <v>3706.8369170000001</v>
      </c>
      <c r="P14" s="301">
        <v>1587.5081426899997</v>
      </c>
      <c r="Q14" s="301">
        <v>4624.6477599999998</v>
      </c>
      <c r="R14" s="301">
        <v>1745.544761740003</v>
      </c>
      <c r="S14" s="301">
        <v>4518.7432829999998</v>
      </c>
      <c r="T14" s="301">
        <v>2559.29</v>
      </c>
      <c r="U14" s="301">
        <v>5945.54</v>
      </c>
      <c r="V14" s="301">
        <v>2296.1156180200005</v>
      </c>
      <c r="W14" s="301">
        <v>5735.7209400000002</v>
      </c>
    </row>
    <row r="15" spans="1:23" s="150" customFormat="1" ht="17.25" customHeight="1">
      <c r="A15" s="154" t="s">
        <v>74</v>
      </c>
      <c r="B15" s="300">
        <v>2157.12</v>
      </c>
      <c r="C15" s="300">
        <v>647.48</v>
      </c>
      <c r="D15" s="300">
        <v>2177.5157600000002</v>
      </c>
      <c r="E15" s="300">
        <v>910.03</v>
      </c>
      <c r="F15" s="299">
        <v>2220.2399999999998</v>
      </c>
      <c r="G15" s="299">
        <v>913.98</v>
      </c>
      <c r="H15" s="299">
        <v>2481.12763</v>
      </c>
      <c r="I15" s="299">
        <v>1188.0552729999999</v>
      </c>
      <c r="J15" s="299">
        <v>2450.3667399999999</v>
      </c>
      <c r="K15" s="299">
        <v>1199.4036809999998</v>
      </c>
      <c r="L15" s="299">
        <v>2490.6813000000002</v>
      </c>
      <c r="M15" s="299">
        <v>885.38706100000002</v>
      </c>
      <c r="N15" s="299">
        <v>2154.3361400000003</v>
      </c>
      <c r="O15" s="299">
        <v>838.36265500000002</v>
      </c>
      <c r="P15" s="299">
        <v>2243.2312999999999</v>
      </c>
      <c r="Q15" s="299">
        <v>927.20988899999998</v>
      </c>
      <c r="R15" s="299">
        <v>2400.5914500000003</v>
      </c>
      <c r="S15" s="299">
        <v>1134.2715089999999</v>
      </c>
      <c r="T15" s="299">
        <v>2584.33</v>
      </c>
      <c r="U15" s="299">
        <v>1045.26</v>
      </c>
      <c r="V15" s="299">
        <v>2529.4436800000003</v>
      </c>
      <c r="W15" s="299">
        <v>1295.155747</v>
      </c>
    </row>
    <row r="16" spans="1:23" s="150" customFormat="1" ht="17.25" customHeight="1">
      <c r="A16" s="429" t="s">
        <v>203</v>
      </c>
      <c r="B16" s="298">
        <v>23846.096241760002</v>
      </c>
      <c r="C16" s="298">
        <v>62222.705312999999</v>
      </c>
      <c r="D16" s="298">
        <v>24930.052516719996</v>
      </c>
      <c r="E16" s="298">
        <v>83257.377907999995</v>
      </c>
      <c r="F16" s="298">
        <v>24904.212899689999</v>
      </c>
      <c r="G16" s="298">
        <v>73158.577990999998</v>
      </c>
      <c r="H16" s="298">
        <v>25738.729837520004</v>
      </c>
      <c r="I16" s="298">
        <v>63147.110519000002</v>
      </c>
      <c r="J16" s="298">
        <v>25803.46</v>
      </c>
      <c r="K16" s="298">
        <v>66072.740000000005</v>
      </c>
      <c r="L16" s="298">
        <v>25971.759999999998</v>
      </c>
      <c r="M16" s="298">
        <v>63201.11</v>
      </c>
      <c r="N16" s="298">
        <v>24024.15060768</v>
      </c>
      <c r="O16" s="298">
        <v>67922.161280999993</v>
      </c>
      <c r="P16" s="298">
        <v>24418.384682269996</v>
      </c>
      <c r="Q16" s="298">
        <v>77807.454394999993</v>
      </c>
      <c r="R16" s="298">
        <v>25226.123744479999</v>
      </c>
      <c r="S16" s="298">
        <v>67515.979974000002</v>
      </c>
      <c r="T16" s="298">
        <v>29041.72</v>
      </c>
      <c r="U16" s="298">
        <v>67546.149999999994</v>
      </c>
      <c r="V16" s="298">
        <v>26586.78664735</v>
      </c>
      <c r="W16" s="298">
        <v>73253.194661999994</v>
      </c>
    </row>
    <row r="17" spans="1:9" s="150" customFormat="1" ht="17.25" customHeight="1">
      <c r="A17" s="164" t="s">
        <v>260</v>
      </c>
      <c r="F17" s="10"/>
      <c r="G17" s="10"/>
      <c r="H17" s="10"/>
      <c r="I17" s="10"/>
    </row>
    <row r="18" spans="1:9" s="150" customFormat="1" ht="17.25" customHeight="1">
      <c r="A18" s="373" t="s">
        <v>267</v>
      </c>
      <c r="F18" s="10"/>
      <c r="G18" s="10"/>
      <c r="H18" s="10"/>
      <c r="I18" s="10"/>
    </row>
    <row r="19" spans="1:9" s="150" customFormat="1" ht="17.25" customHeight="1">
      <c r="A19" s="146" t="s">
        <v>268</v>
      </c>
      <c r="F19" s="10"/>
      <c r="G19" s="10"/>
      <c r="H19" s="10"/>
      <c r="I19" s="10"/>
    </row>
    <row r="20" spans="1:9" ht="17.25" customHeight="1">
      <c r="A20" s="374" t="s">
        <v>269</v>
      </c>
    </row>
    <row r="21" spans="1:9" ht="17.25" customHeight="1">
      <c r="A21" s="149"/>
    </row>
    <row r="23" spans="1:9" ht="17.25" customHeight="1">
      <c r="A23" s="149"/>
    </row>
    <row r="27" spans="1:9" ht="17.25" customHeight="1">
      <c r="F27" s="147"/>
      <c r="G27" s="147"/>
      <c r="H27" s="147"/>
      <c r="I27" s="147"/>
    </row>
    <row r="28" spans="1:9" ht="17.25" customHeight="1">
      <c r="A28" s="149"/>
    </row>
    <row r="30" spans="1:9" ht="17.25" customHeight="1">
      <c r="F30" s="147"/>
      <c r="G30" s="147"/>
      <c r="H30" s="147"/>
      <c r="I30" s="147"/>
    </row>
    <row r="185" spans="32:32" ht="17.25" customHeight="1">
      <c r="AF185" s="147" t="s">
        <v>69</v>
      </c>
    </row>
  </sheetData>
  <mergeCells count="14">
    <mergeCell ref="V5:W5"/>
    <mergeCell ref="A3:W3"/>
    <mergeCell ref="A2:W2"/>
    <mergeCell ref="N5:O5"/>
    <mergeCell ref="B5:C5"/>
    <mergeCell ref="T5:U5"/>
    <mergeCell ref="D5:E5"/>
    <mergeCell ref="F5:G5"/>
    <mergeCell ref="H5:I5"/>
    <mergeCell ref="J5:K5"/>
    <mergeCell ref="P5:Q5"/>
    <mergeCell ref="R5:S5"/>
    <mergeCell ref="A5:A6"/>
    <mergeCell ref="L5:M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3" firstPageNumber="0" orientation="landscape" r:id="rId1"/>
  <headerFooter alignWithMargins="0"/>
  <rowBreaks count="1" manualBreakCount="1">
    <brk id="1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33"/>
  <sheetViews>
    <sheetView view="pageBreakPreview" zoomScaleNormal="100" zoomScaleSheetLayoutView="100" workbookViewId="0">
      <pane xSplit="2" ySplit="6" topLeftCell="G7" activePane="bottomRight" state="frozen"/>
      <selection activeCell="H38" sqref="H38"/>
      <selection pane="topRight" activeCell="H38" sqref="H38"/>
      <selection pane="bottomLeft" activeCell="H38" sqref="H38"/>
      <selection pane="bottomRight" activeCell="H38" sqref="H38"/>
    </sheetView>
  </sheetViews>
  <sheetFormatPr defaultColWidth="9.1640625" defaultRowHeight="17.25" customHeight="1"/>
  <cols>
    <col min="1" max="1" width="9.1640625" style="29" customWidth="1"/>
    <col min="2" max="2" width="17.1640625" style="29" customWidth="1"/>
    <col min="3" max="24" width="15.6640625" style="29" customWidth="1"/>
    <col min="25" max="16384" width="9.1640625" style="29"/>
  </cols>
  <sheetData>
    <row r="2" spans="1:32" s="163" customFormat="1" ht="17.25" customHeight="1">
      <c r="A2" s="565" t="s">
        <v>217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478"/>
      <c r="Z2" s="478"/>
      <c r="AA2" s="478"/>
      <c r="AB2" s="478"/>
      <c r="AC2" s="478"/>
      <c r="AD2" s="478"/>
      <c r="AE2" s="478"/>
      <c r="AF2" s="478"/>
    </row>
    <row r="3" spans="1:32" s="163" customFormat="1" ht="17.25" customHeight="1">
      <c r="A3" s="565" t="s">
        <v>247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478"/>
      <c r="Z3" s="478"/>
      <c r="AA3" s="478"/>
      <c r="AB3" s="478"/>
      <c r="AC3" s="478"/>
      <c r="AD3" s="478"/>
      <c r="AE3" s="478"/>
      <c r="AF3" s="478"/>
    </row>
    <row r="4" spans="1:32" s="163" customFormat="1" ht="17.25" customHeight="1">
      <c r="A4" s="446"/>
      <c r="B4" s="446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23"/>
      <c r="Z4" s="23"/>
      <c r="AA4" s="23"/>
      <c r="AB4" s="23"/>
      <c r="AC4" s="23"/>
      <c r="AD4" s="23"/>
      <c r="AE4" s="23"/>
      <c r="AF4" s="23"/>
    </row>
    <row r="5" spans="1:32" s="85" customFormat="1" ht="17.25" customHeight="1">
      <c r="A5" s="606" t="s">
        <v>205</v>
      </c>
      <c r="B5" s="608" t="s">
        <v>206</v>
      </c>
      <c r="C5" s="594">
        <v>2010</v>
      </c>
      <c r="D5" s="595"/>
      <c r="E5" s="594">
        <v>2011</v>
      </c>
      <c r="F5" s="595"/>
      <c r="G5" s="594">
        <v>2012</v>
      </c>
      <c r="H5" s="595"/>
      <c r="I5" s="602">
        <v>2013</v>
      </c>
      <c r="J5" s="603"/>
      <c r="K5" s="602">
        <v>2014</v>
      </c>
      <c r="L5" s="603"/>
      <c r="M5" s="602">
        <v>2015</v>
      </c>
      <c r="N5" s="603"/>
      <c r="O5" s="602">
        <v>2016</v>
      </c>
      <c r="P5" s="603"/>
      <c r="Q5" s="602">
        <v>2017</v>
      </c>
      <c r="R5" s="603"/>
      <c r="S5" s="602">
        <v>2018</v>
      </c>
      <c r="T5" s="603"/>
      <c r="U5" s="602" t="s">
        <v>300</v>
      </c>
      <c r="V5" s="603"/>
      <c r="W5" s="602" t="s">
        <v>301</v>
      </c>
      <c r="X5" s="603"/>
    </row>
    <row r="6" spans="1:32" s="85" customFormat="1" ht="45">
      <c r="A6" s="607"/>
      <c r="B6" s="609"/>
      <c r="C6" s="73" t="s">
        <v>207</v>
      </c>
      <c r="D6" s="73" t="s">
        <v>202</v>
      </c>
      <c r="E6" s="73" t="s">
        <v>207</v>
      </c>
      <c r="F6" s="73" t="s">
        <v>202</v>
      </c>
      <c r="G6" s="73" t="s">
        <v>207</v>
      </c>
      <c r="H6" s="73" t="s">
        <v>202</v>
      </c>
      <c r="I6" s="73" t="s">
        <v>207</v>
      </c>
      <c r="J6" s="73" t="s">
        <v>202</v>
      </c>
      <c r="K6" s="73" t="s">
        <v>207</v>
      </c>
      <c r="L6" s="73" t="s">
        <v>202</v>
      </c>
      <c r="M6" s="73" t="s">
        <v>207</v>
      </c>
      <c r="N6" s="73" t="s">
        <v>202</v>
      </c>
      <c r="O6" s="73" t="s">
        <v>207</v>
      </c>
      <c r="P6" s="73" t="s">
        <v>202</v>
      </c>
      <c r="Q6" s="73" t="s">
        <v>207</v>
      </c>
      <c r="R6" s="73" t="s">
        <v>202</v>
      </c>
      <c r="S6" s="73" t="s">
        <v>207</v>
      </c>
      <c r="T6" s="73" t="s">
        <v>202</v>
      </c>
      <c r="U6" s="73" t="s">
        <v>207</v>
      </c>
      <c r="V6" s="73" t="s">
        <v>202</v>
      </c>
      <c r="W6" s="73" t="s">
        <v>207</v>
      </c>
      <c r="X6" s="73" t="s">
        <v>202</v>
      </c>
    </row>
    <row r="7" spans="1:32" ht="17.25" customHeight="1">
      <c r="A7" s="159">
        <v>1</v>
      </c>
      <c r="B7" s="370" t="s">
        <v>47</v>
      </c>
      <c r="C7" s="160">
        <v>3717.2524767999998</v>
      </c>
      <c r="D7" s="304">
        <v>8477.3027949999996</v>
      </c>
      <c r="E7" s="160">
        <v>3688.7403407499996</v>
      </c>
      <c r="F7" s="304">
        <v>10671.817198000001</v>
      </c>
      <c r="G7" s="160">
        <v>3867.5207302999988</v>
      </c>
      <c r="H7" s="304">
        <v>10214.817832999999</v>
      </c>
      <c r="I7" s="160">
        <v>3888.4739401300035</v>
      </c>
      <c r="J7" s="304">
        <v>8712.9332269999995</v>
      </c>
      <c r="K7" s="160">
        <v>4218.8599999999997</v>
      </c>
      <c r="L7" s="304">
        <v>10174.69</v>
      </c>
      <c r="M7" s="160">
        <v>4126.66</v>
      </c>
      <c r="N7" s="304">
        <v>9676.7099999999991</v>
      </c>
      <c r="O7" s="160">
        <v>3590.08</v>
      </c>
      <c r="P7" s="304">
        <v>10256.17</v>
      </c>
      <c r="Q7" s="160">
        <v>3445.44</v>
      </c>
      <c r="R7" s="304">
        <v>11033.67</v>
      </c>
      <c r="S7" s="160">
        <v>3807.5</v>
      </c>
      <c r="T7" s="304">
        <v>9899.43</v>
      </c>
      <c r="U7" s="160">
        <v>4136.9640144700006</v>
      </c>
      <c r="V7" s="304">
        <v>10473.260926999999</v>
      </c>
      <c r="W7" s="160">
        <v>3592.9633351800003</v>
      </c>
      <c r="X7" s="304">
        <v>11266.774316000001</v>
      </c>
    </row>
    <row r="8" spans="1:32" ht="17.25" customHeight="1">
      <c r="A8" s="159">
        <v>2</v>
      </c>
      <c r="B8" s="370" t="s">
        <v>246</v>
      </c>
      <c r="C8" s="160">
        <v>4376.6622175399998</v>
      </c>
      <c r="D8" s="304">
        <v>11282.176271</v>
      </c>
      <c r="E8" s="160">
        <v>4753.6783754399994</v>
      </c>
      <c r="F8" s="304">
        <v>16358.20959</v>
      </c>
      <c r="G8" s="160">
        <v>4329.0297511200006</v>
      </c>
      <c r="H8" s="304">
        <v>13120.352736000001</v>
      </c>
      <c r="I8" s="160">
        <v>4878.5575787100006</v>
      </c>
      <c r="J8" s="304">
        <v>12213.316766</v>
      </c>
      <c r="K8" s="160">
        <v>4039.04</v>
      </c>
      <c r="L8" s="304">
        <v>10323.18</v>
      </c>
      <c r="M8" s="160">
        <v>3511.96</v>
      </c>
      <c r="N8" s="304">
        <v>8560.73</v>
      </c>
      <c r="O8" s="160">
        <v>3052.2</v>
      </c>
      <c r="P8" s="304">
        <v>8852.0499999999993</v>
      </c>
      <c r="Q8" s="160">
        <v>2862.25</v>
      </c>
      <c r="R8" s="304">
        <v>9392.69</v>
      </c>
      <c r="S8" s="160">
        <v>3072.78</v>
      </c>
      <c r="T8" s="304">
        <v>8370</v>
      </c>
      <c r="U8" s="160">
        <v>4004.7256866800012</v>
      </c>
      <c r="V8" s="304">
        <v>9419.3961290000007</v>
      </c>
      <c r="W8" s="160">
        <v>3964.2550222700006</v>
      </c>
      <c r="X8" s="304">
        <v>10769.15281</v>
      </c>
    </row>
    <row r="9" spans="1:32" ht="17.25" customHeight="1">
      <c r="A9" s="159">
        <v>3</v>
      </c>
      <c r="B9" s="370" t="s">
        <v>18</v>
      </c>
      <c r="C9" s="160">
        <v>1569.3991910500001</v>
      </c>
      <c r="D9" s="304">
        <v>3821.727081</v>
      </c>
      <c r="E9" s="160">
        <v>1984.3926182299999</v>
      </c>
      <c r="F9" s="304">
        <v>6264.1186710000002</v>
      </c>
      <c r="G9" s="160">
        <v>3120.7142541400003</v>
      </c>
      <c r="H9" s="304">
        <v>8774.8593679999994</v>
      </c>
      <c r="I9" s="160">
        <v>2666.0233019600005</v>
      </c>
      <c r="J9" s="304">
        <v>6424.9870739999997</v>
      </c>
      <c r="K9" s="160">
        <v>3415.57</v>
      </c>
      <c r="L9" s="304">
        <v>8728.2000000000007</v>
      </c>
      <c r="M9" s="160">
        <v>4010.49</v>
      </c>
      <c r="N9" s="304">
        <v>9140.89</v>
      </c>
      <c r="O9" s="160">
        <v>3133.57</v>
      </c>
      <c r="P9" s="304">
        <v>8320.65</v>
      </c>
      <c r="Q9" s="160">
        <v>2285.84</v>
      </c>
      <c r="R9" s="304">
        <v>7173.3</v>
      </c>
      <c r="S9" s="160">
        <v>2676.15</v>
      </c>
      <c r="T9" s="304">
        <v>6838.86</v>
      </c>
      <c r="U9" s="160">
        <v>4836.7289302399977</v>
      </c>
      <c r="V9" s="304">
        <v>10577.12925</v>
      </c>
      <c r="W9" s="160">
        <v>3032.0655087600012</v>
      </c>
      <c r="X9" s="304">
        <v>8576.8229009999995</v>
      </c>
    </row>
    <row r="10" spans="1:32" ht="17.25" customHeight="1">
      <c r="A10" s="159">
        <v>4</v>
      </c>
      <c r="B10" s="370" t="s">
        <v>264</v>
      </c>
      <c r="C10" s="160">
        <v>1479.9401059799998</v>
      </c>
      <c r="D10" s="304">
        <v>4405.3752320000003</v>
      </c>
      <c r="E10" s="160">
        <v>1529.2704408799998</v>
      </c>
      <c r="F10" s="304">
        <v>5879.0545179999999</v>
      </c>
      <c r="G10" s="160">
        <v>1500.4873678000001</v>
      </c>
      <c r="H10" s="304">
        <v>5053.4463919999998</v>
      </c>
      <c r="I10" s="160">
        <v>1508.3764217</v>
      </c>
      <c r="J10" s="304">
        <v>4138.4959200000003</v>
      </c>
      <c r="K10" s="160">
        <v>1383.3</v>
      </c>
      <c r="L10" s="304">
        <v>4200.38</v>
      </c>
      <c r="M10" s="160">
        <v>1211.95</v>
      </c>
      <c r="N10" s="304">
        <v>3808.72</v>
      </c>
      <c r="O10" s="160">
        <v>1095.06</v>
      </c>
      <c r="P10" s="304">
        <v>3937.77</v>
      </c>
      <c r="Q10" s="160">
        <v>1089.78</v>
      </c>
      <c r="R10" s="304">
        <v>4581.4399999999996</v>
      </c>
      <c r="S10" s="160">
        <v>995.07</v>
      </c>
      <c r="T10" s="304">
        <v>3636.29</v>
      </c>
      <c r="U10" s="160">
        <v>1073.5511285499999</v>
      </c>
      <c r="V10" s="304">
        <v>3169.8111880000001</v>
      </c>
      <c r="W10" s="160">
        <v>972.57062873999996</v>
      </c>
      <c r="X10" s="304">
        <v>3391.3617770000001</v>
      </c>
    </row>
    <row r="11" spans="1:32" ht="17.25" customHeight="1">
      <c r="A11" s="159">
        <v>5</v>
      </c>
      <c r="B11" s="370" t="s">
        <v>21</v>
      </c>
      <c r="C11" s="160">
        <v>2198.1970337499997</v>
      </c>
      <c r="D11" s="304">
        <v>5862.6796480000003</v>
      </c>
      <c r="E11" s="160">
        <v>1968.0713171599998</v>
      </c>
      <c r="F11" s="304">
        <v>6337.0415999999996</v>
      </c>
      <c r="G11" s="160">
        <v>1462.4891758400001</v>
      </c>
      <c r="H11" s="304">
        <v>4223.0098209999996</v>
      </c>
      <c r="I11" s="160">
        <v>1518.1414472500001</v>
      </c>
      <c r="J11" s="304">
        <v>3607.63141</v>
      </c>
      <c r="K11" s="160">
        <v>934.43</v>
      </c>
      <c r="L11" s="304">
        <v>2245.15</v>
      </c>
      <c r="M11" s="160">
        <v>896.09</v>
      </c>
      <c r="N11" s="304">
        <v>1875.2</v>
      </c>
      <c r="O11" s="160">
        <v>1114.78</v>
      </c>
      <c r="P11" s="304">
        <v>2605.5100000000002</v>
      </c>
      <c r="Q11" s="160">
        <v>1175.43</v>
      </c>
      <c r="R11" s="304">
        <v>2829.43</v>
      </c>
      <c r="S11" s="160">
        <v>1258.94</v>
      </c>
      <c r="T11" s="304">
        <v>2873.7</v>
      </c>
      <c r="U11" s="160">
        <v>1403.2108349299999</v>
      </c>
      <c r="V11" s="304">
        <v>2625.6673660000001</v>
      </c>
      <c r="W11" s="160">
        <v>1280.8607502800003</v>
      </c>
      <c r="X11" s="304">
        <v>2849.276887</v>
      </c>
    </row>
    <row r="12" spans="1:32" ht="17.25" customHeight="1">
      <c r="A12" s="159">
        <v>6</v>
      </c>
      <c r="B12" s="370" t="s">
        <v>20</v>
      </c>
      <c r="C12" s="160">
        <v>868.28349015000003</v>
      </c>
      <c r="D12" s="304">
        <v>2689.694759</v>
      </c>
      <c r="E12" s="160">
        <v>922.19845939000004</v>
      </c>
      <c r="F12" s="304">
        <v>3997.6446070000002</v>
      </c>
      <c r="G12" s="160">
        <v>886.65966122999998</v>
      </c>
      <c r="H12" s="304">
        <v>3299.3238780000001</v>
      </c>
      <c r="I12" s="160">
        <v>811.53008394999983</v>
      </c>
      <c r="J12" s="304">
        <v>2431.5954590000001</v>
      </c>
      <c r="K12" s="160">
        <v>1004.19</v>
      </c>
      <c r="L12" s="304">
        <v>2886.61</v>
      </c>
      <c r="M12" s="160">
        <v>1075.5999999999999</v>
      </c>
      <c r="N12" s="304">
        <v>2892.97</v>
      </c>
      <c r="O12" s="160">
        <v>1140.3800000000001</v>
      </c>
      <c r="P12" s="304">
        <v>3029.34</v>
      </c>
      <c r="Q12" s="160">
        <v>1220.46</v>
      </c>
      <c r="R12" s="304">
        <v>3526.73</v>
      </c>
      <c r="S12" s="160">
        <v>1217.9100000000001</v>
      </c>
      <c r="T12" s="304">
        <v>2977.38</v>
      </c>
      <c r="U12" s="160">
        <v>1575.7530102899993</v>
      </c>
      <c r="V12" s="304">
        <v>2717.0133850000002</v>
      </c>
      <c r="W12" s="160">
        <v>1630.0754079399999</v>
      </c>
      <c r="X12" s="304">
        <v>2725.5697709999999</v>
      </c>
    </row>
    <row r="13" spans="1:32" ht="17.25" customHeight="1">
      <c r="A13" s="159">
        <v>7</v>
      </c>
      <c r="B13" s="370" t="s">
        <v>23</v>
      </c>
      <c r="C13" s="160">
        <v>52.554169080000001</v>
      </c>
      <c r="D13" s="304">
        <v>179.567544</v>
      </c>
      <c r="E13" s="160">
        <v>207.79957249</v>
      </c>
      <c r="F13" s="304">
        <v>708.45679399999995</v>
      </c>
      <c r="G13" s="160">
        <v>137.72691845</v>
      </c>
      <c r="H13" s="304">
        <v>363.77617299999997</v>
      </c>
      <c r="I13" s="160">
        <v>272.32692880000002</v>
      </c>
      <c r="J13" s="304">
        <v>514.44072100000005</v>
      </c>
      <c r="K13" s="160">
        <v>200.08185009999997</v>
      </c>
      <c r="L13" s="304">
        <v>527.326413</v>
      </c>
      <c r="M13" s="160">
        <v>559.70739461999983</v>
      </c>
      <c r="N13" s="304">
        <v>1440.8523660000001</v>
      </c>
      <c r="O13" s="160">
        <v>840.33</v>
      </c>
      <c r="P13" s="304">
        <v>2521.58</v>
      </c>
      <c r="Q13" s="160">
        <v>922.69</v>
      </c>
      <c r="R13" s="304">
        <v>3096.15</v>
      </c>
      <c r="S13" s="160">
        <v>979.61</v>
      </c>
      <c r="T13" s="304">
        <v>2554.65</v>
      </c>
      <c r="U13" s="160">
        <v>1082.7378807699995</v>
      </c>
      <c r="V13" s="304">
        <v>2572.1197499999998</v>
      </c>
      <c r="W13" s="160">
        <v>859.56041543000015</v>
      </c>
      <c r="X13" s="304">
        <v>2666.880204</v>
      </c>
    </row>
    <row r="14" spans="1:32" ht="17.25" customHeight="1">
      <c r="A14" s="159">
        <v>8</v>
      </c>
      <c r="B14" s="370" t="s">
        <v>22</v>
      </c>
      <c r="C14" s="160">
        <v>594.94223605999991</v>
      </c>
      <c r="D14" s="304">
        <v>1787.4148009999999</v>
      </c>
      <c r="E14" s="160">
        <v>601.92369946000008</v>
      </c>
      <c r="F14" s="304">
        <v>2266.9451490000001</v>
      </c>
      <c r="G14" s="160">
        <v>752.93346553999993</v>
      </c>
      <c r="H14" s="304">
        <v>2448.4352450000001</v>
      </c>
      <c r="I14" s="160">
        <v>681.55876174000014</v>
      </c>
      <c r="J14" s="304">
        <v>1835.0571629999999</v>
      </c>
      <c r="K14" s="160">
        <v>688.67</v>
      </c>
      <c r="L14" s="304">
        <v>1982.35</v>
      </c>
      <c r="M14" s="160">
        <v>594.79</v>
      </c>
      <c r="N14" s="304">
        <v>1736.58</v>
      </c>
      <c r="O14" s="160">
        <v>580.16999999999996</v>
      </c>
      <c r="P14" s="304">
        <v>2006.68</v>
      </c>
      <c r="Q14" s="160">
        <v>716.17</v>
      </c>
      <c r="R14" s="304">
        <v>2551.86</v>
      </c>
      <c r="S14" s="160">
        <v>627.83000000000004</v>
      </c>
      <c r="T14" s="304">
        <v>2041.76</v>
      </c>
      <c r="U14" s="160">
        <v>768.18362991999959</v>
      </c>
      <c r="V14" s="304">
        <v>2291.0305939999998</v>
      </c>
      <c r="W14" s="160">
        <v>710.52411490000009</v>
      </c>
      <c r="X14" s="304">
        <v>2466.7459840000001</v>
      </c>
    </row>
    <row r="15" spans="1:32" ht="17.25" customHeight="1">
      <c r="A15" s="159">
        <v>9</v>
      </c>
      <c r="B15" s="370" t="s">
        <v>43</v>
      </c>
      <c r="C15" s="160">
        <v>279.57507945000009</v>
      </c>
      <c r="D15" s="304">
        <v>807.79937500000005</v>
      </c>
      <c r="E15" s="160">
        <v>611.09871037999994</v>
      </c>
      <c r="F15" s="304">
        <v>2192.4311259999999</v>
      </c>
      <c r="G15" s="160">
        <v>371.44792822999995</v>
      </c>
      <c r="H15" s="304">
        <v>1215.1174799999999</v>
      </c>
      <c r="I15" s="160">
        <v>281.51064058999998</v>
      </c>
      <c r="J15" s="304">
        <v>767.01441299999999</v>
      </c>
      <c r="K15" s="160">
        <v>620.63</v>
      </c>
      <c r="L15" s="304">
        <v>1681.02</v>
      </c>
      <c r="M15" s="160">
        <v>810</v>
      </c>
      <c r="N15" s="304">
        <v>1990.1</v>
      </c>
      <c r="O15" s="160">
        <v>785.52</v>
      </c>
      <c r="P15" s="304">
        <v>2280.31</v>
      </c>
      <c r="Q15" s="160">
        <v>831.58</v>
      </c>
      <c r="R15" s="304">
        <v>2639.72</v>
      </c>
      <c r="S15" s="160">
        <v>838.74</v>
      </c>
      <c r="T15" s="304">
        <v>2314.54</v>
      </c>
      <c r="U15" s="160">
        <v>760.67196923000017</v>
      </c>
      <c r="V15" s="304">
        <v>1852.624237</v>
      </c>
      <c r="W15" s="160">
        <v>771.37496823999993</v>
      </c>
      <c r="X15" s="304">
        <v>2324.0239489999999</v>
      </c>
    </row>
    <row r="16" spans="1:32" ht="17.25" customHeight="1">
      <c r="A16" s="159">
        <v>10</v>
      </c>
      <c r="B16" s="370" t="s">
        <v>159</v>
      </c>
      <c r="C16" s="160">
        <v>886.18594488000008</v>
      </c>
      <c r="D16" s="304">
        <v>1358.35905</v>
      </c>
      <c r="E16" s="160">
        <v>955.40119299999992</v>
      </c>
      <c r="F16" s="304">
        <v>1949.4495099999999</v>
      </c>
      <c r="G16" s="160">
        <v>972.17992756000001</v>
      </c>
      <c r="H16" s="304">
        <v>1883.570371</v>
      </c>
      <c r="I16" s="160">
        <v>972.05343133999986</v>
      </c>
      <c r="J16" s="304">
        <v>1533.9328250000001</v>
      </c>
      <c r="K16" s="160">
        <v>913.23</v>
      </c>
      <c r="L16" s="304">
        <v>1804.34</v>
      </c>
      <c r="M16" s="160">
        <v>957.74</v>
      </c>
      <c r="N16" s="304">
        <v>1704.84</v>
      </c>
      <c r="O16" s="160">
        <v>897.66</v>
      </c>
      <c r="P16" s="304">
        <v>1811.15</v>
      </c>
      <c r="Q16" s="160">
        <v>934.87</v>
      </c>
      <c r="R16" s="304">
        <v>2141.5300000000002</v>
      </c>
      <c r="S16" s="160">
        <v>985.45</v>
      </c>
      <c r="T16" s="304">
        <v>1944.67</v>
      </c>
      <c r="U16" s="160">
        <v>1137.6688968500005</v>
      </c>
      <c r="V16" s="304">
        <v>1822.909099</v>
      </c>
      <c r="W16" s="160">
        <v>1138.01491029</v>
      </c>
      <c r="X16" s="304">
        <v>2083.9056409999998</v>
      </c>
    </row>
    <row r="17" spans="1:24" ht="17.25" customHeight="1">
      <c r="A17" s="159">
        <v>11</v>
      </c>
      <c r="B17" s="370" t="s">
        <v>265</v>
      </c>
      <c r="C17" s="160">
        <v>423.77262506</v>
      </c>
      <c r="D17" s="304">
        <v>1185.3794339999999</v>
      </c>
      <c r="E17" s="160">
        <v>478.27650249999999</v>
      </c>
      <c r="F17" s="304">
        <v>1619.6448290000001</v>
      </c>
      <c r="G17" s="160">
        <v>500.25933855</v>
      </c>
      <c r="H17" s="304">
        <v>1518.4527149999999</v>
      </c>
      <c r="I17" s="160">
        <v>547.45139810000012</v>
      </c>
      <c r="J17" s="304">
        <v>1411.455279</v>
      </c>
      <c r="K17" s="160">
        <v>687.41</v>
      </c>
      <c r="L17" s="304">
        <v>1834.17</v>
      </c>
      <c r="M17" s="160">
        <v>664.79</v>
      </c>
      <c r="N17" s="304">
        <v>1654.2</v>
      </c>
      <c r="O17" s="160">
        <v>666.31</v>
      </c>
      <c r="P17" s="304">
        <v>1836.46</v>
      </c>
      <c r="Q17" s="160">
        <v>768.52</v>
      </c>
      <c r="R17" s="304">
        <v>2283.65</v>
      </c>
      <c r="S17" s="160">
        <v>569.75</v>
      </c>
      <c r="T17" s="304">
        <v>1579.09</v>
      </c>
      <c r="U17" s="160">
        <v>761.97776108999994</v>
      </c>
      <c r="V17" s="304">
        <v>1779.8781280000001</v>
      </c>
      <c r="W17" s="160">
        <v>626.6122746100001</v>
      </c>
      <c r="X17" s="304">
        <v>1688.6188629999999</v>
      </c>
    </row>
    <row r="18" spans="1:24" ht="17.25" customHeight="1">
      <c r="A18" s="159">
        <v>12</v>
      </c>
      <c r="B18" s="370" t="s">
        <v>55</v>
      </c>
      <c r="C18" s="160">
        <v>38.917450779999996</v>
      </c>
      <c r="D18" s="304">
        <v>108.776673</v>
      </c>
      <c r="E18" s="160">
        <v>36.842163609999993</v>
      </c>
      <c r="F18" s="304">
        <v>124.09328600000001</v>
      </c>
      <c r="G18" s="160">
        <v>54.8399322</v>
      </c>
      <c r="H18" s="304">
        <v>174.98218299999999</v>
      </c>
      <c r="I18" s="160">
        <v>95.149191039999991</v>
      </c>
      <c r="J18" s="304">
        <v>252.69296299999999</v>
      </c>
      <c r="K18" s="160">
        <v>143.74205300000006</v>
      </c>
      <c r="L18" s="304">
        <v>404.93540899999999</v>
      </c>
      <c r="M18" s="160">
        <v>160.54474359999998</v>
      </c>
      <c r="N18" s="304">
        <v>414.08507600000002</v>
      </c>
      <c r="O18" s="160">
        <v>139.40221963999997</v>
      </c>
      <c r="P18" s="304">
        <v>384.55405000000002</v>
      </c>
      <c r="Q18" s="160">
        <v>242.28885316</v>
      </c>
      <c r="R18" s="304">
        <v>753.62022200000001</v>
      </c>
      <c r="S18" s="160">
        <v>261.13425916999995</v>
      </c>
      <c r="T18" s="304">
        <v>661.16337299999998</v>
      </c>
      <c r="U18" s="160">
        <v>230.37785509999998</v>
      </c>
      <c r="V18" s="304">
        <v>493.186646</v>
      </c>
      <c r="W18" s="160">
        <v>541.54528715999993</v>
      </c>
      <c r="X18" s="304">
        <v>1533.0157549999999</v>
      </c>
    </row>
    <row r="19" spans="1:24" ht="17.25" customHeight="1">
      <c r="A19" s="159">
        <v>13</v>
      </c>
      <c r="B19" s="370" t="s">
        <v>56</v>
      </c>
      <c r="C19" s="160">
        <v>131.72527250999997</v>
      </c>
      <c r="D19" s="304">
        <v>284.97589399999998</v>
      </c>
      <c r="E19" s="160">
        <v>187.33234858</v>
      </c>
      <c r="F19" s="304">
        <v>412.50462199999998</v>
      </c>
      <c r="G19" s="160">
        <v>156.58850252000002</v>
      </c>
      <c r="H19" s="304">
        <v>409.12201900000002</v>
      </c>
      <c r="I19" s="160">
        <v>219.65272671000002</v>
      </c>
      <c r="J19" s="304">
        <v>388.05571300000003</v>
      </c>
      <c r="K19" s="160">
        <v>294.85000000000002</v>
      </c>
      <c r="L19" s="304">
        <v>634.54999999999995</v>
      </c>
      <c r="M19" s="160">
        <v>268.74</v>
      </c>
      <c r="N19" s="304">
        <v>461.46</v>
      </c>
      <c r="O19" s="160">
        <v>404.38</v>
      </c>
      <c r="P19" s="304">
        <v>805.5</v>
      </c>
      <c r="Q19" s="160">
        <v>580.29999999999995</v>
      </c>
      <c r="R19" s="304">
        <v>1496.28</v>
      </c>
      <c r="S19" s="160">
        <v>570.87</v>
      </c>
      <c r="T19" s="304">
        <v>1216.1500000000001</v>
      </c>
      <c r="U19" s="160">
        <v>296.42736631000002</v>
      </c>
      <c r="V19" s="304">
        <v>547.14842399999998</v>
      </c>
      <c r="W19" s="160">
        <v>594.41855962000011</v>
      </c>
      <c r="X19" s="304">
        <v>1257.4629950000001</v>
      </c>
    </row>
    <row r="20" spans="1:24" ht="17.25" customHeight="1">
      <c r="A20" s="159">
        <v>14</v>
      </c>
      <c r="B20" s="370" t="s">
        <v>30</v>
      </c>
      <c r="C20" s="160">
        <v>28.927072185949992</v>
      </c>
      <c r="D20" s="304">
        <v>166.10294999999999</v>
      </c>
      <c r="E20" s="160">
        <v>394.34237649279987</v>
      </c>
      <c r="F20" s="304">
        <v>1508.135413</v>
      </c>
      <c r="G20" s="160">
        <v>142.63937173207003</v>
      </c>
      <c r="H20" s="304">
        <v>557.87920199999996</v>
      </c>
      <c r="I20" s="160">
        <v>165.85543172000001</v>
      </c>
      <c r="J20" s="304">
        <v>407.629054</v>
      </c>
      <c r="K20" s="160">
        <v>230.06746160000003</v>
      </c>
      <c r="L20" s="304">
        <v>614.027423</v>
      </c>
      <c r="M20" s="160">
        <v>274.32892559999993</v>
      </c>
      <c r="N20" s="304">
        <v>666.14934100000005</v>
      </c>
      <c r="O20" s="160">
        <v>221.54654099999996</v>
      </c>
      <c r="P20" s="304">
        <v>621.98741500000006</v>
      </c>
      <c r="Q20" s="160">
        <v>289.87</v>
      </c>
      <c r="R20" s="304">
        <v>886.22</v>
      </c>
      <c r="S20" s="160">
        <v>253.58</v>
      </c>
      <c r="T20" s="304">
        <v>662.37</v>
      </c>
      <c r="U20" s="160">
        <v>349.47145575999997</v>
      </c>
      <c r="V20" s="304">
        <v>846.72283500000003</v>
      </c>
      <c r="W20" s="160">
        <v>400.91467903999995</v>
      </c>
      <c r="X20" s="304">
        <v>1141.707899</v>
      </c>
    </row>
    <row r="21" spans="1:24" ht="17.25" customHeight="1">
      <c r="A21" s="159">
        <v>15</v>
      </c>
      <c r="B21" s="370" t="s">
        <v>16</v>
      </c>
      <c r="C21" s="160">
        <v>205.44824603999999</v>
      </c>
      <c r="D21" s="304">
        <v>584.42076999999995</v>
      </c>
      <c r="E21" s="160">
        <v>176.94447699999992</v>
      </c>
      <c r="F21" s="304">
        <v>618.52567199999999</v>
      </c>
      <c r="G21" s="160">
        <v>284.23916271000002</v>
      </c>
      <c r="H21" s="304">
        <v>881.85474899999997</v>
      </c>
      <c r="I21" s="160">
        <v>417.82967648000005</v>
      </c>
      <c r="J21" s="304">
        <v>1047.233532</v>
      </c>
      <c r="K21" s="160">
        <v>326.06051381999998</v>
      </c>
      <c r="L21" s="304">
        <v>842.53699800000004</v>
      </c>
      <c r="M21" s="160">
        <v>332.65161233999999</v>
      </c>
      <c r="N21" s="304">
        <v>808.59807999999998</v>
      </c>
      <c r="O21" s="160">
        <v>492.87511551</v>
      </c>
      <c r="P21" s="304">
        <v>1289.7149320000001</v>
      </c>
      <c r="Q21" s="160">
        <v>311.78374097</v>
      </c>
      <c r="R21" s="304">
        <v>978.88608299999999</v>
      </c>
      <c r="S21" s="160">
        <v>387.56829744999993</v>
      </c>
      <c r="T21" s="304">
        <v>977.11888799999997</v>
      </c>
      <c r="U21" s="160">
        <v>181.37379213000006</v>
      </c>
      <c r="V21" s="304">
        <v>465.80587100000002</v>
      </c>
      <c r="W21" s="160">
        <v>366.52277673999998</v>
      </c>
      <c r="X21" s="304">
        <v>1053.9245189999999</v>
      </c>
    </row>
    <row r="22" spans="1:24" ht="17.25" customHeight="1">
      <c r="A22" s="159">
        <v>16</v>
      </c>
      <c r="B22" s="370" t="s">
        <v>19</v>
      </c>
      <c r="C22" s="160">
        <v>346.08995039999991</v>
      </c>
      <c r="D22" s="304">
        <v>1078.011927</v>
      </c>
      <c r="E22" s="160">
        <v>420.31551248</v>
      </c>
      <c r="F22" s="304">
        <v>1616.614558</v>
      </c>
      <c r="G22" s="160">
        <v>690.3876772399999</v>
      </c>
      <c r="H22" s="304">
        <v>2175.8562120000001</v>
      </c>
      <c r="I22" s="160">
        <v>712.81187677999992</v>
      </c>
      <c r="J22" s="304">
        <v>1944.1260769999999</v>
      </c>
      <c r="K22" s="160">
        <v>523.34</v>
      </c>
      <c r="L22" s="304">
        <v>1460.75</v>
      </c>
      <c r="M22" s="160">
        <v>417.44</v>
      </c>
      <c r="N22" s="304">
        <v>1124.3399999999999</v>
      </c>
      <c r="O22" s="160">
        <v>434.22</v>
      </c>
      <c r="P22" s="304">
        <v>1311.94</v>
      </c>
      <c r="Q22" s="160">
        <v>611.70000000000005</v>
      </c>
      <c r="R22" s="304">
        <v>2112.9699999999998</v>
      </c>
      <c r="S22" s="160">
        <v>569.84</v>
      </c>
      <c r="T22" s="304">
        <v>1595.06</v>
      </c>
      <c r="U22" s="160">
        <v>575.27441342000031</v>
      </c>
      <c r="V22" s="304">
        <v>1376.278043</v>
      </c>
      <c r="W22" s="160">
        <v>347.70107589999998</v>
      </c>
      <c r="X22" s="304">
        <v>1039.2979</v>
      </c>
    </row>
    <row r="23" spans="1:24" ht="17.25" customHeight="1">
      <c r="A23" s="159">
        <v>17</v>
      </c>
      <c r="B23" s="370" t="s">
        <v>209</v>
      </c>
      <c r="C23" s="160">
        <v>303.09406349</v>
      </c>
      <c r="D23" s="304">
        <v>765.31236000000001</v>
      </c>
      <c r="E23" s="160">
        <v>222.32335446000002</v>
      </c>
      <c r="F23" s="304">
        <v>881.514768</v>
      </c>
      <c r="G23" s="160">
        <v>217.80805357000003</v>
      </c>
      <c r="H23" s="304">
        <v>769.71776499999999</v>
      </c>
      <c r="I23" s="160">
        <v>255.67552805999995</v>
      </c>
      <c r="J23" s="304">
        <v>719.39453600000002</v>
      </c>
      <c r="K23" s="160">
        <v>321.81</v>
      </c>
      <c r="L23" s="304">
        <v>949.21</v>
      </c>
      <c r="M23" s="160">
        <v>298.54000000000002</v>
      </c>
      <c r="N23" s="304">
        <v>849.01</v>
      </c>
      <c r="O23" s="160">
        <v>288.77</v>
      </c>
      <c r="P23" s="304">
        <v>925.03</v>
      </c>
      <c r="Q23" s="160">
        <v>289.58</v>
      </c>
      <c r="R23" s="304">
        <v>1031.3800000000001</v>
      </c>
      <c r="S23" s="160">
        <v>310.82</v>
      </c>
      <c r="T23" s="304">
        <v>910.71</v>
      </c>
      <c r="U23" s="160">
        <v>308.02487589000003</v>
      </c>
      <c r="V23" s="304">
        <v>786.03679599999998</v>
      </c>
      <c r="W23" s="160">
        <v>279.55859213999997</v>
      </c>
      <c r="X23" s="304">
        <v>863.53728100000001</v>
      </c>
    </row>
    <row r="24" spans="1:24" ht="17.25" customHeight="1">
      <c r="A24" s="159">
        <v>18</v>
      </c>
      <c r="B24" s="370" t="s">
        <v>32</v>
      </c>
      <c r="C24" s="160">
        <v>278.22986658999997</v>
      </c>
      <c r="D24" s="304">
        <v>832.60579299999995</v>
      </c>
      <c r="E24" s="160">
        <v>340.36170238999995</v>
      </c>
      <c r="F24" s="304">
        <v>1371.839579</v>
      </c>
      <c r="G24" s="160">
        <v>316.18041369000002</v>
      </c>
      <c r="H24" s="304">
        <v>1036.182088</v>
      </c>
      <c r="I24" s="160">
        <v>259.56021095999995</v>
      </c>
      <c r="J24" s="304">
        <v>767.93910800000003</v>
      </c>
      <c r="K24" s="160">
        <v>385.42685152999996</v>
      </c>
      <c r="L24" s="304">
        <v>940.87951199999998</v>
      </c>
      <c r="M24" s="160">
        <v>397.55078604000005</v>
      </c>
      <c r="N24" s="304">
        <v>842.84606599999995</v>
      </c>
      <c r="O24" s="160">
        <v>329.01</v>
      </c>
      <c r="P24" s="304">
        <v>934.14</v>
      </c>
      <c r="Q24" s="160">
        <v>252.67</v>
      </c>
      <c r="R24" s="304">
        <v>980.72</v>
      </c>
      <c r="S24" s="160">
        <v>228.15</v>
      </c>
      <c r="T24" s="304">
        <v>838.03</v>
      </c>
      <c r="U24" s="160">
        <v>259.10591027999999</v>
      </c>
      <c r="V24" s="304">
        <v>781.31451000000004</v>
      </c>
      <c r="W24" s="160">
        <v>303.54202487999999</v>
      </c>
      <c r="X24" s="304">
        <v>786.00795100000005</v>
      </c>
    </row>
    <row r="25" spans="1:24" ht="17.25" customHeight="1">
      <c r="A25" s="159">
        <v>19</v>
      </c>
      <c r="B25" s="370" t="s">
        <v>307</v>
      </c>
      <c r="C25" s="160">
        <v>107.26893439999999</v>
      </c>
      <c r="D25" s="304">
        <v>341.07183800000001</v>
      </c>
      <c r="E25" s="160">
        <v>114.38135799999999</v>
      </c>
      <c r="F25" s="304">
        <v>442.20351599999998</v>
      </c>
      <c r="G25" s="160">
        <v>180.25774499999997</v>
      </c>
      <c r="H25" s="304">
        <v>594.88100399999996</v>
      </c>
      <c r="I25" s="160">
        <v>125.34394127999998</v>
      </c>
      <c r="J25" s="304">
        <v>348.85176300000001</v>
      </c>
      <c r="K25" s="160">
        <v>99.194447230000009</v>
      </c>
      <c r="L25" s="304">
        <v>279.66886699999998</v>
      </c>
      <c r="M25" s="160">
        <v>166.3847585</v>
      </c>
      <c r="N25" s="304">
        <v>400.61491000000001</v>
      </c>
      <c r="O25" s="160">
        <v>207.15226579999998</v>
      </c>
      <c r="P25" s="304">
        <v>572.31818199999998</v>
      </c>
      <c r="Q25" s="160">
        <v>275.75647043000004</v>
      </c>
      <c r="R25" s="304">
        <v>835.657329</v>
      </c>
      <c r="S25" s="160">
        <v>263.00961753999997</v>
      </c>
      <c r="T25" s="304">
        <v>642.83576100000005</v>
      </c>
      <c r="U25" s="160">
        <v>179.42482228999995</v>
      </c>
      <c r="V25" s="304">
        <v>424.78030100000001</v>
      </c>
      <c r="W25" s="160">
        <v>270.77695851999999</v>
      </c>
      <c r="X25" s="304">
        <v>781.302009</v>
      </c>
    </row>
    <row r="26" spans="1:24" ht="17.25" customHeight="1">
      <c r="A26" s="319">
        <v>20</v>
      </c>
      <c r="B26" s="445" t="s">
        <v>17</v>
      </c>
      <c r="C26" s="160">
        <v>1071.9580800400001</v>
      </c>
      <c r="D26" s="304">
        <v>2975.3997169999998</v>
      </c>
      <c r="E26" s="160">
        <v>846.47949210000002</v>
      </c>
      <c r="F26" s="304">
        <v>2919.4636350000001</v>
      </c>
      <c r="G26" s="160">
        <v>597.76769144000002</v>
      </c>
      <c r="H26" s="304">
        <v>1925.8457169999999</v>
      </c>
      <c r="I26" s="160">
        <v>539.00185715999987</v>
      </c>
      <c r="J26" s="304">
        <v>1365.3268290000001</v>
      </c>
      <c r="K26" s="160">
        <v>454.86701959999999</v>
      </c>
      <c r="L26" s="304">
        <v>1251.7428030000001</v>
      </c>
      <c r="M26" s="160">
        <v>300.09293739999993</v>
      </c>
      <c r="N26" s="304">
        <v>814.42334600000004</v>
      </c>
      <c r="O26" s="160">
        <v>253.90511641999998</v>
      </c>
      <c r="P26" s="304">
        <v>834.92387499999995</v>
      </c>
      <c r="Q26" s="160">
        <v>263.25247850000005</v>
      </c>
      <c r="R26" s="304">
        <v>919.32640900000001</v>
      </c>
      <c r="S26" s="160">
        <v>142.84909127999998</v>
      </c>
      <c r="T26" s="304">
        <v>528.009229</v>
      </c>
      <c r="U26" s="160">
        <v>171.27774150000002</v>
      </c>
      <c r="V26" s="304">
        <v>524.91362300000003</v>
      </c>
      <c r="W26" s="160">
        <v>243.71274398</v>
      </c>
      <c r="X26" s="304">
        <v>777.28558099999998</v>
      </c>
    </row>
    <row r="27" spans="1:24" ht="17.25" customHeight="1">
      <c r="A27" s="604" t="s">
        <v>15</v>
      </c>
      <c r="B27" s="605"/>
      <c r="C27" s="160">
        <v>4887.6727355240473</v>
      </c>
      <c r="D27" s="160">
        <v>13228.55140099999</v>
      </c>
      <c r="E27" s="160">
        <v>4489.8785019271963</v>
      </c>
      <c r="F27" s="160">
        <v>15117.66926699999</v>
      </c>
      <c r="G27" s="160">
        <v>4362.0558308279287</v>
      </c>
      <c r="H27" s="160">
        <v>12517.09504</v>
      </c>
      <c r="I27" s="160">
        <v>4921.845463059999</v>
      </c>
      <c r="J27" s="160">
        <v>12315.000687000007</v>
      </c>
      <c r="K27" s="160">
        <v>4918.6898031200035</v>
      </c>
      <c r="L27" s="160">
        <v>12307.022575000003</v>
      </c>
      <c r="M27" s="160">
        <v>4935.7088418999956</v>
      </c>
      <c r="N27" s="160">
        <v>12337.790815000008</v>
      </c>
      <c r="O27" s="160">
        <v>4356.8287416300009</v>
      </c>
      <c r="P27" s="160">
        <v>12784.38154599999</v>
      </c>
      <c r="Q27" s="160">
        <v>5048.1484569400018</v>
      </c>
      <c r="R27" s="160">
        <v>16562.219956999994</v>
      </c>
      <c r="S27" s="160">
        <v>5208.5687345599945</v>
      </c>
      <c r="T27" s="160">
        <v>14454.162748999988</v>
      </c>
      <c r="U27" s="160">
        <v>4948.7923779899902</v>
      </c>
      <c r="V27" s="160">
        <v>11999.119877000012</v>
      </c>
      <c r="W27" s="160">
        <v>4659.2166127299897</v>
      </c>
      <c r="X27" s="160">
        <v>13210.519668999994</v>
      </c>
    </row>
    <row r="28" spans="1:24" s="85" customFormat="1" ht="17.25" customHeight="1">
      <c r="A28" s="601" t="s">
        <v>0</v>
      </c>
      <c r="B28" s="601"/>
      <c r="C28" s="161">
        <v>23846.096241760002</v>
      </c>
      <c r="D28" s="162">
        <v>62222.705312999999</v>
      </c>
      <c r="E28" s="161">
        <v>24930.052516719996</v>
      </c>
      <c r="F28" s="162">
        <v>83257.377907999995</v>
      </c>
      <c r="G28" s="161">
        <v>24904.212899689999</v>
      </c>
      <c r="H28" s="162">
        <v>73158.577990999998</v>
      </c>
      <c r="I28" s="161">
        <v>25738.729837520004</v>
      </c>
      <c r="J28" s="162">
        <v>63147.110519000002</v>
      </c>
      <c r="K28" s="161">
        <v>25803.46</v>
      </c>
      <c r="L28" s="162">
        <v>66072.740000000005</v>
      </c>
      <c r="M28" s="161">
        <v>25971.759999999998</v>
      </c>
      <c r="N28" s="162">
        <v>63201.11</v>
      </c>
      <c r="O28" s="161">
        <v>24024.15</v>
      </c>
      <c r="P28" s="162">
        <v>67922.16</v>
      </c>
      <c r="Q28" s="161">
        <v>24418.38</v>
      </c>
      <c r="R28" s="162">
        <v>77807.45</v>
      </c>
      <c r="S28" s="161">
        <v>25226.12</v>
      </c>
      <c r="T28" s="162">
        <v>67515.98</v>
      </c>
      <c r="U28" s="161">
        <v>29041.724353689984</v>
      </c>
      <c r="V28" s="162">
        <v>67546.146978999997</v>
      </c>
      <c r="W28" s="161">
        <v>26586.786647349993</v>
      </c>
      <c r="X28" s="162">
        <v>73253.194661999994</v>
      </c>
    </row>
    <row r="29" spans="1:24" ht="17.25" customHeight="1">
      <c r="A29" s="164" t="s">
        <v>260</v>
      </c>
    </row>
    <row r="30" spans="1:24" ht="17.25" customHeight="1">
      <c r="A30" s="373" t="s">
        <v>267</v>
      </c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</row>
    <row r="31" spans="1:24" ht="17.25" customHeight="1">
      <c r="A31" s="146" t="s">
        <v>268</v>
      </c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</row>
    <row r="32" spans="1:24" ht="17.25" customHeight="1">
      <c r="A32" s="374" t="s">
        <v>269</v>
      </c>
    </row>
    <row r="33" spans="1:1" ht="17.25" customHeight="1">
      <c r="A33" s="29" t="s">
        <v>308</v>
      </c>
    </row>
  </sheetData>
  <sortState ref="B7:X26">
    <sortCondition descending="1" ref="X7:X26"/>
  </sortState>
  <mergeCells count="17">
    <mergeCell ref="W5:X5"/>
    <mergeCell ref="A3:X3"/>
    <mergeCell ref="A2:X2"/>
    <mergeCell ref="C5:D5"/>
    <mergeCell ref="E5:F5"/>
    <mergeCell ref="A5:A6"/>
    <mergeCell ref="B5:B6"/>
    <mergeCell ref="Q5:R5"/>
    <mergeCell ref="U5:V5"/>
    <mergeCell ref="S5:T5"/>
    <mergeCell ref="O5:P5"/>
    <mergeCell ref="A28:B28"/>
    <mergeCell ref="G5:H5"/>
    <mergeCell ref="I5:J5"/>
    <mergeCell ref="K5:L5"/>
    <mergeCell ref="M5:N5"/>
    <mergeCell ref="A27:B2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zoomScaleNormal="100" zoomScaleSheetLayoutView="100" workbookViewId="0">
      <selection activeCell="H38" sqref="H38"/>
    </sheetView>
  </sheetViews>
  <sheetFormatPr defaultColWidth="9.6640625" defaultRowHeight="17.25" customHeight="1"/>
  <cols>
    <col min="1" max="2" width="31.6640625" style="87" customWidth="1"/>
    <col min="3" max="5" width="35.1640625" style="87" customWidth="1"/>
    <col min="6" max="6" width="15.1640625" style="87" customWidth="1"/>
    <col min="7" max="7" width="16.5" style="87" customWidth="1"/>
    <col min="8" max="9" width="15.1640625" style="87" customWidth="1"/>
    <col min="10" max="10" width="11.5" style="87" bestFit="1" customWidth="1"/>
    <col min="11" max="16384" width="9.6640625" style="87"/>
  </cols>
  <sheetData>
    <row r="1" spans="1:9" s="29" customFormat="1" ht="17.25" customHeight="1"/>
    <row r="2" spans="1:9" s="29" customFormat="1" ht="17.25" customHeight="1">
      <c r="A2" s="565" t="s">
        <v>102</v>
      </c>
      <c r="B2" s="565"/>
      <c r="C2" s="565"/>
      <c r="D2" s="565"/>
      <c r="E2" s="565"/>
      <c r="F2" s="12"/>
      <c r="G2" s="12"/>
      <c r="H2" s="12"/>
      <c r="I2" s="12"/>
    </row>
    <row r="3" spans="1:9" s="29" customFormat="1" ht="17.25" customHeight="1">
      <c r="A3" s="564" t="s">
        <v>292</v>
      </c>
      <c r="B3" s="564"/>
      <c r="C3" s="564"/>
      <c r="D3" s="564"/>
      <c r="E3" s="564"/>
      <c r="F3" s="12"/>
      <c r="G3" s="12"/>
      <c r="H3" s="12"/>
      <c r="I3" s="12"/>
    </row>
    <row r="4" spans="1:9" s="29" customFormat="1" ht="17.25" customHeight="1">
      <c r="A4" s="565" t="s">
        <v>101</v>
      </c>
      <c r="B4" s="565"/>
      <c r="C4" s="565"/>
      <c r="D4" s="565"/>
      <c r="E4" s="565"/>
      <c r="F4" s="12"/>
      <c r="G4" s="12"/>
      <c r="H4" s="12"/>
      <c r="I4" s="12"/>
    </row>
    <row r="5" spans="1:9" s="29" customFormat="1" ht="17.25" customHeight="1">
      <c r="A5" s="478"/>
      <c r="B5" s="478"/>
      <c r="C5" s="478"/>
      <c r="D5" s="478"/>
      <c r="E5" s="478"/>
      <c r="F5" s="12"/>
      <c r="G5" s="12"/>
      <c r="H5" s="12"/>
      <c r="I5" s="12"/>
    </row>
    <row r="6" spans="1:9" ht="30">
      <c r="A6" s="482" t="s">
        <v>293</v>
      </c>
      <c r="B6" s="482" t="s">
        <v>310</v>
      </c>
      <c r="C6" s="73" t="s">
        <v>311</v>
      </c>
      <c r="D6" s="73" t="s">
        <v>294</v>
      </c>
      <c r="E6" s="482" t="s">
        <v>151</v>
      </c>
      <c r="F6" s="331"/>
      <c r="G6" s="331"/>
      <c r="I6" s="39"/>
    </row>
    <row r="7" spans="1:9" ht="17.25" customHeight="1">
      <c r="A7" s="439" t="s">
        <v>83</v>
      </c>
      <c r="B7" s="554">
        <v>403067</v>
      </c>
      <c r="C7" s="50">
        <v>129884</v>
      </c>
      <c r="D7" s="50">
        <v>207877</v>
      </c>
      <c r="E7" s="50">
        <f>SUM(B7:D7)</f>
        <v>740828</v>
      </c>
      <c r="F7" s="331"/>
      <c r="G7" s="331"/>
      <c r="H7" s="331"/>
    </row>
    <row r="8" spans="1:9" ht="17.25" customHeight="1">
      <c r="A8" s="439" t="s">
        <v>89</v>
      </c>
      <c r="B8" s="554">
        <v>60256</v>
      </c>
      <c r="C8" s="50">
        <v>1601</v>
      </c>
      <c r="D8" s="50">
        <v>27925</v>
      </c>
      <c r="E8" s="50">
        <f t="shared" ref="E8:E17" si="0">SUM(B8:D8)</f>
        <v>89782</v>
      </c>
      <c r="F8" s="115"/>
      <c r="G8" s="115"/>
      <c r="H8" s="115"/>
    </row>
    <row r="9" spans="1:9" ht="17.25" customHeight="1">
      <c r="A9" s="439" t="s">
        <v>90</v>
      </c>
      <c r="B9" s="554">
        <v>129420</v>
      </c>
      <c r="C9" s="50">
        <v>30638</v>
      </c>
      <c r="D9" s="50">
        <v>7541</v>
      </c>
      <c r="E9" s="50">
        <f t="shared" si="0"/>
        <v>167599</v>
      </c>
      <c r="F9" s="331"/>
      <c r="G9" s="331"/>
      <c r="H9" s="331"/>
    </row>
    <row r="10" spans="1:9" ht="17.25" customHeight="1">
      <c r="A10" s="439" t="s">
        <v>91</v>
      </c>
      <c r="B10" s="554">
        <v>37235</v>
      </c>
      <c r="C10" s="50">
        <v>5904</v>
      </c>
      <c r="D10" s="50">
        <v>13222</v>
      </c>
      <c r="E10" s="50">
        <f t="shared" si="0"/>
        <v>56361</v>
      </c>
      <c r="F10" s="331"/>
      <c r="G10" s="331"/>
      <c r="H10" s="331"/>
    </row>
    <row r="11" spans="1:9" ht="17.25" customHeight="1">
      <c r="A11" s="439" t="s">
        <v>107</v>
      </c>
      <c r="B11" s="554">
        <v>110841</v>
      </c>
      <c r="C11" s="50">
        <v>52219</v>
      </c>
      <c r="D11" s="50">
        <v>27402</v>
      </c>
      <c r="E11" s="50">
        <f t="shared" si="0"/>
        <v>190462</v>
      </c>
      <c r="F11" s="331"/>
      <c r="G11" s="331"/>
      <c r="H11" s="331"/>
    </row>
    <row r="12" spans="1:9" ht="17.25" customHeight="1">
      <c r="A12" s="439" t="s">
        <v>84</v>
      </c>
      <c r="B12" s="554">
        <v>497021</v>
      </c>
      <c r="C12" s="50">
        <v>232566</v>
      </c>
      <c r="D12" s="50">
        <v>52660</v>
      </c>
      <c r="E12" s="50">
        <f t="shared" si="0"/>
        <v>782247</v>
      </c>
      <c r="F12" s="114"/>
      <c r="G12" s="114"/>
      <c r="H12" s="114"/>
    </row>
    <row r="13" spans="1:9" ht="17.25" customHeight="1">
      <c r="A13" s="439" t="s">
        <v>86</v>
      </c>
      <c r="B13" s="554">
        <v>231650</v>
      </c>
      <c r="C13" s="50">
        <v>49275</v>
      </c>
      <c r="D13" s="50">
        <v>110843</v>
      </c>
      <c r="E13" s="50">
        <f t="shared" si="0"/>
        <v>391768</v>
      </c>
      <c r="F13" s="114"/>
      <c r="G13" s="114"/>
      <c r="H13" s="114"/>
    </row>
    <row r="14" spans="1:9" ht="17.25" customHeight="1">
      <c r="A14" s="439" t="s">
        <v>108</v>
      </c>
      <c r="B14" s="554">
        <v>0</v>
      </c>
      <c r="C14" s="50">
        <v>545</v>
      </c>
      <c r="D14" s="50">
        <v>149</v>
      </c>
      <c r="E14" s="50">
        <f t="shared" si="0"/>
        <v>694</v>
      </c>
      <c r="F14" s="114"/>
      <c r="G14" s="114"/>
      <c r="H14" s="114"/>
    </row>
    <row r="15" spans="1:9" ht="17.25" customHeight="1">
      <c r="A15" s="439" t="s">
        <v>92</v>
      </c>
      <c r="B15" s="554">
        <v>3631</v>
      </c>
      <c r="C15" s="50">
        <v>277</v>
      </c>
      <c r="D15" s="50">
        <v>8921</v>
      </c>
      <c r="E15" s="50">
        <f t="shared" si="0"/>
        <v>12829</v>
      </c>
      <c r="F15" s="115"/>
      <c r="G15" s="115"/>
      <c r="H15" s="115"/>
    </row>
    <row r="16" spans="1:9" ht="17.25" customHeight="1">
      <c r="A16" s="439" t="s">
        <v>87</v>
      </c>
      <c r="B16" s="554">
        <v>79193</v>
      </c>
      <c r="C16" s="50">
        <v>8603</v>
      </c>
      <c r="D16" s="50">
        <v>38729</v>
      </c>
      <c r="E16" s="50">
        <f t="shared" si="0"/>
        <v>126525</v>
      </c>
      <c r="F16" s="115"/>
      <c r="G16" s="115"/>
      <c r="H16" s="115"/>
    </row>
    <row r="17" spans="1:8" ht="17.25" customHeight="1">
      <c r="A17" s="439" t="s">
        <v>88</v>
      </c>
      <c r="B17" s="554">
        <v>113914</v>
      </c>
      <c r="C17" s="50">
        <v>51853</v>
      </c>
      <c r="D17" s="50">
        <v>12861</v>
      </c>
      <c r="E17" s="50">
        <f t="shared" si="0"/>
        <v>178628</v>
      </c>
      <c r="F17" s="115"/>
      <c r="G17" s="115"/>
      <c r="H17" s="115"/>
    </row>
    <row r="18" spans="1:8" ht="17.25" customHeight="1">
      <c r="A18" s="440" t="s">
        <v>295</v>
      </c>
      <c r="B18" s="555">
        <f>SUM(B7:B17)</f>
        <v>1666228</v>
      </c>
      <c r="C18" s="555">
        <f>SUM(C7:C17)</f>
        <v>563365</v>
      </c>
      <c r="D18" s="556">
        <v>508130</v>
      </c>
      <c r="E18" s="555">
        <f>SUM(E7:E17)</f>
        <v>2737723</v>
      </c>
      <c r="F18" s="115"/>
      <c r="G18" s="115"/>
      <c r="H18" s="115"/>
    </row>
    <row r="19" spans="1:8" ht="17.25" customHeight="1">
      <c r="A19" s="69" t="s">
        <v>59</v>
      </c>
      <c r="B19" s="557">
        <f>(B18/B24)*100</f>
        <v>39.321320968399284</v>
      </c>
      <c r="C19" s="557">
        <f>(C18/672019)*100</f>
        <v>83.831707139232662</v>
      </c>
      <c r="D19" s="557">
        <v>53.2</v>
      </c>
      <c r="E19" s="557">
        <v>46.7</v>
      </c>
      <c r="F19" s="115"/>
      <c r="G19" s="115"/>
      <c r="H19" s="115"/>
    </row>
    <row r="20" spans="1:8" ht="17.25" customHeight="1">
      <c r="A20" s="69" t="s">
        <v>82</v>
      </c>
      <c r="B20" s="321">
        <v>1295539</v>
      </c>
      <c r="C20" s="50">
        <v>32481</v>
      </c>
      <c r="D20" s="50">
        <v>215034</v>
      </c>
      <c r="E20" s="50">
        <v>1543054</v>
      </c>
      <c r="F20" s="115"/>
      <c r="G20" s="115"/>
      <c r="H20" s="115"/>
    </row>
    <row r="21" spans="1:8" ht="17.25" customHeight="1">
      <c r="A21" s="69" t="s">
        <v>59</v>
      </c>
      <c r="B21" s="558">
        <f>(B20/B24)*100</f>
        <v>30.573429834379834</v>
      </c>
      <c r="C21" s="557">
        <f>(C20/672019)*100</f>
        <v>4.8333454857675155</v>
      </c>
      <c r="D21" s="557">
        <v>22.5</v>
      </c>
      <c r="E21" s="557">
        <v>26.3</v>
      </c>
      <c r="F21" s="115"/>
      <c r="G21" s="115"/>
      <c r="H21" s="115"/>
    </row>
    <row r="22" spans="1:8" ht="17.25" customHeight="1">
      <c r="A22" s="69" t="s">
        <v>85</v>
      </c>
      <c r="B22" s="321">
        <v>1275700</v>
      </c>
      <c r="C22" s="50">
        <v>76173</v>
      </c>
      <c r="D22" s="50">
        <v>232647</v>
      </c>
      <c r="E22" s="50">
        <v>1584520</v>
      </c>
      <c r="F22" s="115"/>
      <c r="G22" s="115"/>
      <c r="H22" s="115"/>
    </row>
    <row r="23" spans="1:8" ht="17.25" customHeight="1">
      <c r="A23" s="69" t="s">
        <v>59</v>
      </c>
      <c r="B23" s="558">
        <f>(B22/B24)*100</f>
        <v>30.105249197220886</v>
      </c>
      <c r="C23" s="557">
        <f>(C22/672019)*100</f>
        <v>11.334947374999814</v>
      </c>
      <c r="D23" s="557">
        <v>24.3</v>
      </c>
      <c r="E23" s="557">
        <v>27</v>
      </c>
      <c r="F23" s="115"/>
      <c r="G23" s="115"/>
      <c r="H23" s="115"/>
    </row>
    <row r="24" spans="1:8" ht="17.25" customHeight="1">
      <c r="A24" s="440" t="s">
        <v>1</v>
      </c>
      <c r="B24" s="555">
        <f>B18+B20+B22</f>
        <v>4237467</v>
      </c>
      <c r="C24" s="559">
        <f>C18+C20+C22</f>
        <v>672019</v>
      </c>
      <c r="D24" s="556">
        <v>955811</v>
      </c>
      <c r="E24" s="559">
        <f>E18+E20+E22</f>
        <v>5865297</v>
      </c>
      <c r="F24" s="115"/>
      <c r="G24" s="115"/>
      <c r="H24" s="115"/>
    </row>
    <row r="25" spans="1:8" ht="17.25" customHeight="1">
      <c r="A25" s="484" t="s">
        <v>59</v>
      </c>
      <c r="B25" s="560">
        <f>(B24/E24)*100</f>
        <v>72.246418212070083</v>
      </c>
      <c r="C25" s="560">
        <f>(C24/E24)*100</f>
        <v>11.457544264169401</v>
      </c>
      <c r="D25" s="560">
        <v>16.3</v>
      </c>
      <c r="E25" s="560">
        <v>100</v>
      </c>
      <c r="F25" s="115"/>
      <c r="G25" s="115"/>
      <c r="H25" s="115"/>
    </row>
    <row r="26" spans="1:8" ht="17.25" customHeight="1">
      <c r="A26" s="38" t="s">
        <v>240</v>
      </c>
      <c r="B26" s="38"/>
      <c r="C26" s="115"/>
      <c r="D26" s="115"/>
      <c r="E26" s="115"/>
      <c r="F26" s="115"/>
      <c r="G26" s="115"/>
      <c r="H26" s="115"/>
    </row>
    <row r="27" spans="1:8" ht="17.25" customHeight="1">
      <c r="A27" s="115"/>
      <c r="B27" s="115"/>
      <c r="C27" s="115"/>
      <c r="D27" s="115"/>
      <c r="E27" s="115"/>
      <c r="F27" s="115"/>
      <c r="G27" s="115"/>
      <c r="H27" s="115"/>
    </row>
    <row r="28" spans="1:8" ht="17.25" customHeight="1">
      <c r="A28" s="115"/>
      <c r="B28" s="115"/>
      <c r="C28" s="115"/>
      <c r="D28" s="115"/>
      <c r="E28" s="115"/>
      <c r="F28" s="115"/>
      <c r="G28" s="115"/>
      <c r="H28" s="115"/>
    </row>
    <row r="29" spans="1:8" ht="17.25" customHeight="1">
      <c r="A29" s="115"/>
      <c r="B29" s="115"/>
      <c r="C29" s="115"/>
      <c r="D29" s="115"/>
      <c r="E29" s="115"/>
      <c r="F29" s="115"/>
      <c r="G29" s="115"/>
      <c r="H29" s="115"/>
    </row>
    <row r="30" spans="1:8" ht="17.25" customHeight="1">
      <c r="A30" s="115"/>
      <c r="B30" s="115"/>
      <c r="C30" s="115"/>
      <c r="D30" s="115"/>
      <c r="E30" s="115"/>
      <c r="F30" s="115"/>
      <c r="G30" s="115"/>
      <c r="H30" s="115"/>
    </row>
    <row r="31" spans="1:8" ht="17.25" customHeight="1">
      <c r="A31" s="115"/>
      <c r="B31" s="115"/>
      <c r="C31" s="115"/>
      <c r="D31" s="115"/>
      <c r="E31" s="115"/>
      <c r="F31" s="115"/>
      <c r="G31" s="115"/>
      <c r="H31" s="115"/>
    </row>
    <row r="32" spans="1:8" ht="17.25" customHeight="1">
      <c r="A32" s="115"/>
      <c r="B32" s="115"/>
      <c r="C32" s="115"/>
      <c r="D32" s="115"/>
      <c r="E32" s="115"/>
      <c r="F32" s="115"/>
      <c r="G32" s="115"/>
      <c r="H32" s="115"/>
    </row>
    <row r="33" spans="1:8" ht="17.25" customHeight="1">
      <c r="A33" s="115"/>
      <c r="B33" s="115"/>
      <c r="C33" s="115"/>
      <c r="D33" s="115"/>
      <c r="E33" s="115"/>
      <c r="F33" s="115"/>
      <c r="G33" s="115"/>
      <c r="H33" s="115"/>
    </row>
    <row r="34" spans="1:8" ht="17.25" customHeight="1">
      <c r="A34" s="115"/>
      <c r="B34" s="115"/>
      <c r="C34" s="115"/>
      <c r="D34" s="115"/>
      <c r="E34" s="115"/>
      <c r="F34" s="115"/>
      <c r="G34" s="115"/>
      <c r="H34" s="115"/>
    </row>
    <row r="35" spans="1:8" ht="17.25" customHeight="1">
      <c r="A35" s="115"/>
      <c r="B35" s="115"/>
      <c r="C35" s="115"/>
      <c r="D35" s="115"/>
      <c r="E35" s="115"/>
      <c r="F35" s="115"/>
      <c r="G35" s="115"/>
      <c r="H35" s="115"/>
    </row>
    <row r="36" spans="1:8" ht="17.25" customHeight="1">
      <c r="A36" s="115"/>
      <c r="B36" s="115"/>
      <c r="C36" s="115"/>
      <c r="D36" s="115"/>
      <c r="E36" s="115"/>
      <c r="F36" s="115"/>
      <c r="G36" s="115"/>
      <c r="H36" s="115"/>
    </row>
    <row r="37" spans="1:8" ht="17.25" customHeight="1">
      <c r="A37" s="115"/>
      <c r="B37" s="115"/>
      <c r="C37" s="115"/>
      <c r="D37" s="115"/>
      <c r="E37" s="115"/>
      <c r="F37" s="115"/>
      <c r="G37" s="115"/>
      <c r="H37" s="115"/>
    </row>
    <row r="38" spans="1:8" ht="17.25" customHeight="1">
      <c r="A38" s="115"/>
      <c r="B38" s="115"/>
      <c r="C38" s="115"/>
      <c r="D38" s="115"/>
      <c r="E38" s="115"/>
      <c r="F38" s="115"/>
      <c r="G38" s="115"/>
      <c r="H38" s="115"/>
    </row>
    <row r="39" spans="1:8" ht="17.25" customHeight="1">
      <c r="A39" s="115"/>
      <c r="B39" s="115"/>
      <c r="C39" s="115"/>
      <c r="D39" s="115"/>
      <c r="E39" s="115"/>
      <c r="F39" s="115"/>
      <c r="G39" s="115"/>
      <c r="H39" s="115"/>
    </row>
    <row r="40" spans="1:8" ht="17.25" customHeight="1">
      <c r="A40" s="115"/>
      <c r="B40" s="115"/>
      <c r="C40" s="115"/>
      <c r="D40" s="115"/>
      <c r="E40" s="115"/>
      <c r="F40" s="115"/>
      <c r="G40" s="115"/>
      <c r="H40" s="115"/>
    </row>
    <row r="41" spans="1:8" ht="17.25" customHeight="1">
      <c r="A41" s="115"/>
      <c r="B41" s="115"/>
      <c r="C41" s="115"/>
      <c r="D41" s="115"/>
      <c r="E41" s="115"/>
      <c r="F41" s="115"/>
      <c r="G41" s="115"/>
      <c r="H41" s="115"/>
    </row>
    <row r="42" spans="1:8" ht="17.25" customHeight="1">
      <c r="A42" s="115"/>
      <c r="B42" s="115"/>
      <c r="C42" s="115"/>
      <c r="D42" s="115"/>
      <c r="E42" s="115"/>
      <c r="F42" s="115"/>
      <c r="G42" s="115"/>
      <c r="H42" s="115"/>
    </row>
    <row r="43" spans="1:8" ht="17.25" customHeight="1">
      <c r="A43" s="115"/>
      <c r="B43" s="115"/>
      <c r="C43" s="115"/>
      <c r="D43" s="115"/>
      <c r="E43" s="115"/>
      <c r="F43" s="115"/>
      <c r="G43" s="115"/>
      <c r="H43" s="115"/>
    </row>
    <row r="44" spans="1:8" ht="17.25" customHeight="1">
      <c r="A44" s="115"/>
      <c r="B44" s="115"/>
      <c r="C44" s="115"/>
      <c r="D44" s="115"/>
      <c r="E44" s="115"/>
      <c r="F44" s="115"/>
      <c r="G44" s="115"/>
      <c r="H44" s="115"/>
    </row>
    <row r="45" spans="1:8" ht="17.25" customHeight="1">
      <c r="A45" s="115"/>
      <c r="B45" s="115"/>
      <c r="C45" s="115"/>
      <c r="D45" s="115"/>
      <c r="E45" s="115"/>
      <c r="F45" s="115"/>
      <c r="G45" s="115"/>
      <c r="H45" s="115"/>
    </row>
    <row r="46" spans="1:8" ht="17.25" customHeight="1">
      <c r="A46" s="115"/>
      <c r="B46" s="115"/>
      <c r="C46" s="115"/>
      <c r="D46" s="115"/>
      <c r="E46" s="115"/>
      <c r="F46" s="115"/>
      <c r="G46" s="115"/>
      <c r="H46" s="115"/>
    </row>
    <row r="47" spans="1:8" ht="17.25" customHeight="1">
      <c r="A47" s="115"/>
      <c r="B47" s="115"/>
      <c r="C47" s="115"/>
      <c r="D47" s="115"/>
      <c r="E47" s="115"/>
      <c r="F47" s="115"/>
      <c r="G47" s="115"/>
      <c r="H47" s="115"/>
    </row>
    <row r="48" spans="1:8" ht="17.25" customHeight="1">
      <c r="A48" s="115"/>
      <c r="B48" s="115"/>
      <c r="C48" s="115"/>
      <c r="D48" s="115"/>
      <c r="E48" s="115"/>
      <c r="F48" s="115"/>
      <c r="G48" s="115"/>
      <c r="H48" s="115"/>
    </row>
  </sheetData>
  <mergeCells count="3">
    <mergeCell ref="A3:E3"/>
    <mergeCell ref="A2:E2"/>
    <mergeCell ref="A4:E4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33"/>
  <sheetViews>
    <sheetView view="pageBreakPreview" zoomScaleNormal="100" zoomScaleSheetLayoutView="100" workbookViewId="0">
      <pane xSplit="2" ySplit="6" topLeftCell="G7" activePane="bottomRight" state="frozen"/>
      <selection activeCell="H38" sqref="H38"/>
      <selection pane="topRight" activeCell="H38" sqref="H38"/>
      <selection pane="bottomLeft" activeCell="H38" sqref="H38"/>
      <selection pane="bottomRight" activeCell="H38" sqref="H38"/>
    </sheetView>
  </sheetViews>
  <sheetFormatPr defaultColWidth="9.1640625" defaultRowHeight="17.25" customHeight="1"/>
  <cols>
    <col min="1" max="1" width="9.1640625" style="29" customWidth="1"/>
    <col min="2" max="2" width="17.1640625" style="29" customWidth="1"/>
    <col min="3" max="24" width="15.6640625" style="29" customWidth="1"/>
    <col min="25" max="16384" width="9.1640625" style="29"/>
  </cols>
  <sheetData>
    <row r="2" spans="1:30" s="163" customFormat="1" ht="17.25" customHeight="1">
      <c r="A2" s="565" t="s">
        <v>218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478"/>
      <c r="X2" s="478"/>
      <c r="Y2" s="478"/>
      <c r="Z2" s="478"/>
      <c r="AA2" s="478"/>
      <c r="AB2" s="478"/>
      <c r="AC2" s="478"/>
      <c r="AD2" s="478"/>
    </row>
    <row r="3" spans="1:30" s="163" customFormat="1" ht="17.25" customHeight="1">
      <c r="A3" s="565" t="s">
        <v>248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478"/>
      <c r="X3" s="478"/>
      <c r="Y3" s="478"/>
      <c r="Z3" s="478"/>
      <c r="AA3" s="478"/>
      <c r="AB3" s="478"/>
      <c r="AC3" s="478"/>
      <c r="AD3" s="478"/>
    </row>
    <row r="4" spans="1:30" s="163" customFormat="1" ht="17.25" customHeight="1">
      <c r="A4" s="446"/>
      <c r="B4" s="446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23"/>
      <c r="Z4" s="23"/>
      <c r="AA4" s="23"/>
      <c r="AB4" s="23"/>
      <c r="AC4" s="23"/>
      <c r="AD4" s="23"/>
    </row>
    <row r="5" spans="1:30" s="85" customFormat="1" ht="17.25" customHeight="1">
      <c r="A5" s="606" t="s">
        <v>205</v>
      </c>
      <c r="B5" s="608" t="s">
        <v>206</v>
      </c>
      <c r="C5" s="594">
        <v>2010</v>
      </c>
      <c r="D5" s="595"/>
      <c r="E5" s="594">
        <v>2011</v>
      </c>
      <c r="F5" s="595"/>
      <c r="G5" s="594">
        <v>2012</v>
      </c>
      <c r="H5" s="595"/>
      <c r="I5" s="602">
        <v>2013</v>
      </c>
      <c r="J5" s="603"/>
      <c r="K5" s="602">
        <v>2014</v>
      </c>
      <c r="L5" s="603"/>
      <c r="M5" s="602">
        <v>2015</v>
      </c>
      <c r="N5" s="603"/>
      <c r="O5" s="602">
        <v>2016</v>
      </c>
      <c r="P5" s="603"/>
      <c r="Q5" s="602">
        <v>2017</v>
      </c>
      <c r="R5" s="603"/>
      <c r="S5" s="602">
        <v>2018</v>
      </c>
      <c r="T5" s="603"/>
      <c r="U5" s="602" t="s">
        <v>300</v>
      </c>
      <c r="V5" s="603"/>
      <c r="W5" s="602" t="s">
        <v>301</v>
      </c>
      <c r="X5" s="603"/>
    </row>
    <row r="6" spans="1:30" s="85" customFormat="1" ht="45">
      <c r="A6" s="607"/>
      <c r="B6" s="609"/>
      <c r="C6" s="73" t="s">
        <v>207</v>
      </c>
      <c r="D6" s="73" t="s">
        <v>202</v>
      </c>
      <c r="E6" s="73" t="s">
        <v>207</v>
      </c>
      <c r="F6" s="73" t="s">
        <v>202</v>
      </c>
      <c r="G6" s="73" t="s">
        <v>207</v>
      </c>
      <c r="H6" s="73" t="s">
        <v>202</v>
      </c>
      <c r="I6" s="73" t="s">
        <v>207</v>
      </c>
      <c r="J6" s="73" t="s">
        <v>202</v>
      </c>
      <c r="K6" s="73" t="s">
        <v>207</v>
      </c>
      <c r="L6" s="73" t="s">
        <v>202</v>
      </c>
      <c r="M6" s="73" t="s">
        <v>207</v>
      </c>
      <c r="N6" s="73" t="s">
        <v>202</v>
      </c>
      <c r="O6" s="73" t="s">
        <v>207</v>
      </c>
      <c r="P6" s="73" t="s">
        <v>202</v>
      </c>
      <c r="Q6" s="73" t="s">
        <v>207</v>
      </c>
      <c r="R6" s="73" t="s">
        <v>202</v>
      </c>
      <c r="S6" s="73" t="s">
        <v>207</v>
      </c>
      <c r="T6" s="73" t="s">
        <v>202</v>
      </c>
      <c r="U6" s="73" t="s">
        <v>207</v>
      </c>
      <c r="V6" s="73" t="s">
        <v>202</v>
      </c>
      <c r="W6" s="73" t="s">
        <v>207</v>
      </c>
      <c r="X6" s="73" t="s">
        <v>202</v>
      </c>
    </row>
    <row r="7" spans="1:30" ht="17.25" customHeight="1">
      <c r="A7" s="159">
        <v>1</v>
      </c>
      <c r="B7" s="435" t="s">
        <v>18</v>
      </c>
      <c r="C7" s="160">
        <v>1184.2356399999999</v>
      </c>
      <c r="D7" s="436">
        <v>3004.8139999999999</v>
      </c>
      <c r="E7" s="160">
        <v>1710.8352199999999</v>
      </c>
      <c r="F7" s="436">
        <v>5287.1978259999996</v>
      </c>
      <c r="G7" s="160">
        <v>2624.0190300000004</v>
      </c>
      <c r="H7" s="436">
        <v>7524.0509199999997</v>
      </c>
      <c r="I7" s="160">
        <v>2281.1851200000001</v>
      </c>
      <c r="J7" s="436">
        <v>5443.3148950000004</v>
      </c>
      <c r="K7" s="160">
        <v>3092.98</v>
      </c>
      <c r="L7" s="436">
        <v>7499.91</v>
      </c>
      <c r="M7" s="160">
        <v>3683.96</v>
      </c>
      <c r="N7" s="436">
        <v>8034.93</v>
      </c>
      <c r="O7" s="160">
        <v>2821.92013</v>
      </c>
      <c r="P7" s="436">
        <v>7162.3061950000001</v>
      </c>
      <c r="Q7" s="160">
        <v>1942.33</v>
      </c>
      <c r="R7" s="436">
        <v>5648.69</v>
      </c>
      <c r="S7" s="160">
        <v>2183.3924300000003</v>
      </c>
      <c r="T7" s="436">
        <v>5104.2485710000001</v>
      </c>
      <c r="U7" s="160">
        <v>4244.42011</v>
      </c>
      <c r="V7" s="436">
        <v>8914.9226780000008</v>
      </c>
      <c r="W7" s="160">
        <v>2604.3214400000006</v>
      </c>
      <c r="X7" s="436">
        <v>7161.2178599999997</v>
      </c>
    </row>
    <row r="8" spans="1:30" ht="17.25" customHeight="1">
      <c r="A8" s="159">
        <v>2</v>
      </c>
      <c r="B8" s="437" t="s">
        <v>246</v>
      </c>
      <c r="C8" s="160">
        <v>3462.9402799999993</v>
      </c>
      <c r="D8" s="438">
        <v>8925.4507470000008</v>
      </c>
      <c r="E8" s="160">
        <v>4022.2773999999995</v>
      </c>
      <c r="F8" s="438">
        <v>13383.814809</v>
      </c>
      <c r="G8" s="160">
        <v>3479.375199999999</v>
      </c>
      <c r="H8" s="438">
        <v>10195.440289</v>
      </c>
      <c r="I8" s="160">
        <v>3638.2061899999999</v>
      </c>
      <c r="J8" s="438">
        <v>8641.7405529999996</v>
      </c>
      <c r="K8" s="160">
        <v>2876.89</v>
      </c>
      <c r="L8" s="438">
        <v>7123</v>
      </c>
      <c r="M8" s="160">
        <v>2429.1</v>
      </c>
      <c r="N8" s="438">
        <v>5367.57</v>
      </c>
      <c r="O8" s="160">
        <v>1866.57755</v>
      </c>
      <c r="P8" s="438">
        <v>4835.4477129999996</v>
      </c>
      <c r="Q8" s="160">
        <v>1612.97</v>
      </c>
      <c r="R8" s="438">
        <v>4581.55</v>
      </c>
      <c r="S8" s="160">
        <v>1695.21585</v>
      </c>
      <c r="T8" s="438">
        <v>3932.4305279999999</v>
      </c>
      <c r="U8" s="160">
        <v>2368.4418299999998</v>
      </c>
      <c r="V8" s="438">
        <v>5056.6594910000003</v>
      </c>
      <c r="W8" s="160">
        <v>2599.6794599999998</v>
      </c>
      <c r="X8" s="438">
        <v>6960.5195629999998</v>
      </c>
    </row>
    <row r="9" spans="1:30" ht="17.25" customHeight="1">
      <c r="A9" s="159">
        <v>3</v>
      </c>
      <c r="B9" s="437" t="s">
        <v>47</v>
      </c>
      <c r="C9" s="160">
        <v>2108.0825600000007</v>
      </c>
      <c r="D9" s="438">
        <v>5311.861774</v>
      </c>
      <c r="E9" s="160">
        <v>2182.7168100000008</v>
      </c>
      <c r="F9" s="438">
        <v>6829.1148320000011</v>
      </c>
      <c r="G9" s="160">
        <v>2397.0268199999991</v>
      </c>
      <c r="H9" s="438">
        <v>7065.9633080000012</v>
      </c>
      <c r="I9" s="160">
        <v>2319.2540600000002</v>
      </c>
      <c r="J9" s="438">
        <v>5507.8549400000002</v>
      </c>
      <c r="K9" s="160">
        <v>2192.92</v>
      </c>
      <c r="L9" s="438">
        <v>5645.58</v>
      </c>
      <c r="M9" s="160">
        <v>2358.3000000000002</v>
      </c>
      <c r="N9" s="438">
        <v>5637.62</v>
      </c>
      <c r="O9" s="160">
        <v>1899.72</v>
      </c>
      <c r="P9" s="438">
        <v>5193.34</v>
      </c>
      <c r="Q9" s="160">
        <v>1770.1</v>
      </c>
      <c r="R9" s="438">
        <v>5435.72</v>
      </c>
      <c r="S9" s="160">
        <v>1829.2822199999998</v>
      </c>
      <c r="T9" s="438">
        <v>4722.6802319999997</v>
      </c>
      <c r="U9" s="160">
        <v>1989.7581200000002</v>
      </c>
      <c r="V9" s="438">
        <v>4525.2386260000003</v>
      </c>
      <c r="W9" s="160">
        <v>1826.4101699999999</v>
      </c>
      <c r="X9" s="438">
        <v>5223.9733649999998</v>
      </c>
    </row>
    <row r="10" spans="1:30" ht="17.25" customHeight="1">
      <c r="A10" s="159">
        <v>4</v>
      </c>
      <c r="B10" s="437" t="s">
        <v>21</v>
      </c>
      <c r="C10" s="160">
        <v>2133.8033399999999</v>
      </c>
      <c r="D10" s="438">
        <v>5704.8305769999997</v>
      </c>
      <c r="E10" s="160">
        <v>1847.4726400000002</v>
      </c>
      <c r="F10" s="438">
        <v>6124.4160910000001</v>
      </c>
      <c r="G10" s="160">
        <v>1356.98054</v>
      </c>
      <c r="H10" s="438">
        <v>4046.5056589999999</v>
      </c>
      <c r="I10" s="160">
        <v>1408.8306399999999</v>
      </c>
      <c r="J10" s="438">
        <v>3425.926684</v>
      </c>
      <c r="K10" s="160">
        <v>761.25</v>
      </c>
      <c r="L10" s="438">
        <v>1978.7</v>
      </c>
      <c r="M10" s="160">
        <v>618.35</v>
      </c>
      <c r="N10" s="438">
        <v>1534.31</v>
      </c>
      <c r="O10" s="160">
        <v>809.81146999999987</v>
      </c>
      <c r="P10" s="438">
        <v>2220.7840470000001</v>
      </c>
      <c r="Q10" s="160">
        <v>779.27</v>
      </c>
      <c r="R10" s="438">
        <v>2362.33</v>
      </c>
      <c r="S10" s="160">
        <v>964.30314999999996</v>
      </c>
      <c r="T10" s="438">
        <v>2474.2321360000001</v>
      </c>
      <c r="U10" s="160">
        <v>970.74276999999995</v>
      </c>
      <c r="V10" s="438">
        <v>2206.7352430000001</v>
      </c>
      <c r="W10" s="160">
        <v>892.28953999999999</v>
      </c>
      <c r="X10" s="438">
        <v>2403.640504</v>
      </c>
    </row>
    <row r="11" spans="1:30" ht="17.25" customHeight="1">
      <c r="A11" s="159">
        <v>5</v>
      </c>
      <c r="B11" s="437" t="s">
        <v>43</v>
      </c>
      <c r="C11" s="160">
        <v>209.53605000000002</v>
      </c>
      <c r="D11" s="438">
        <v>578.46608500000002</v>
      </c>
      <c r="E11" s="160">
        <v>521.29179999999997</v>
      </c>
      <c r="F11" s="438">
        <v>1793.3287760000001</v>
      </c>
      <c r="G11" s="160">
        <v>290.16717999999997</v>
      </c>
      <c r="H11" s="438">
        <v>930.94518500000004</v>
      </c>
      <c r="I11" s="160">
        <v>190.21310999999994</v>
      </c>
      <c r="J11" s="438">
        <v>496.04191700000001</v>
      </c>
      <c r="K11" s="160">
        <v>500.66</v>
      </c>
      <c r="L11" s="438">
        <v>1283.51</v>
      </c>
      <c r="M11" s="160">
        <v>647.12</v>
      </c>
      <c r="N11" s="438">
        <v>1520.92</v>
      </c>
      <c r="O11" s="160">
        <v>626.30412999999999</v>
      </c>
      <c r="P11" s="438">
        <v>1664.9811239999999</v>
      </c>
      <c r="Q11" s="160">
        <v>731.69</v>
      </c>
      <c r="R11" s="438">
        <v>2170.1</v>
      </c>
      <c r="S11" s="160">
        <v>703.16768999999999</v>
      </c>
      <c r="T11" s="438">
        <v>1724.8910860000001</v>
      </c>
      <c r="U11" s="160">
        <v>629.97430000000008</v>
      </c>
      <c r="V11" s="438">
        <v>1401.251458</v>
      </c>
      <c r="W11" s="160">
        <v>684.92505999999992</v>
      </c>
      <c r="X11" s="438">
        <v>1951.694587</v>
      </c>
    </row>
    <row r="12" spans="1:30" ht="17.25" customHeight="1">
      <c r="A12" s="159">
        <v>6</v>
      </c>
      <c r="B12" s="437" t="s">
        <v>23</v>
      </c>
      <c r="C12" s="160">
        <v>16.8432</v>
      </c>
      <c r="D12" s="438">
        <v>46.186467999999998</v>
      </c>
      <c r="E12" s="160">
        <v>97.886459999999985</v>
      </c>
      <c r="F12" s="438">
        <v>338.92003199999999</v>
      </c>
      <c r="G12" s="160">
        <v>33.274879999999996</v>
      </c>
      <c r="H12" s="438">
        <v>99.967658</v>
      </c>
      <c r="I12" s="160">
        <v>79.822220000000002</v>
      </c>
      <c r="J12" s="438">
        <v>204.864801</v>
      </c>
      <c r="K12" s="160">
        <v>77.206029999999998</v>
      </c>
      <c r="L12" s="438">
        <v>207.70749799999999</v>
      </c>
      <c r="M12" s="160">
        <v>390.52848999999992</v>
      </c>
      <c r="N12" s="438">
        <v>920.45687499999997</v>
      </c>
      <c r="O12" s="160">
        <v>640.6405299999999</v>
      </c>
      <c r="P12" s="438">
        <v>1755.7406020000001</v>
      </c>
      <c r="Q12" s="160">
        <v>703.27</v>
      </c>
      <c r="R12" s="438">
        <v>2018.8</v>
      </c>
      <c r="S12" s="160">
        <v>616.71124999999984</v>
      </c>
      <c r="T12" s="438">
        <v>1566.997623</v>
      </c>
      <c r="U12" s="160">
        <v>694.91373999999996</v>
      </c>
      <c r="V12" s="438">
        <v>1587.5563770000001</v>
      </c>
      <c r="W12" s="160">
        <v>619.00397000000009</v>
      </c>
      <c r="X12" s="438">
        <v>1778.927011</v>
      </c>
    </row>
    <row r="13" spans="1:30" ht="17.25" customHeight="1">
      <c r="A13" s="159">
        <v>7</v>
      </c>
      <c r="B13" s="437" t="s">
        <v>55</v>
      </c>
      <c r="C13" s="160">
        <v>34.59883</v>
      </c>
      <c r="D13" s="438">
        <v>95.851007999999993</v>
      </c>
      <c r="E13" s="160">
        <v>31.910229999999995</v>
      </c>
      <c r="F13" s="438">
        <v>108.007409</v>
      </c>
      <c r="G13" s="160">
        <v>50.519730000000003</v>
      </c>
      <c r="H13" s="438">
        <v>160.16554400000001</v>
      </c>
      <c r="I13" s="160">
        <v>92.543969999999987</v>
      </c>
      <c r="J13" s="438">
        <v>243.76471799999999</v>
      </c>
      <c r="K13" s="160">
        <v>137.33360000000002</v>
      </c>
      <c r="L13" s="438">
        <v>386.12517200000002</v>
      </c>
      <c r="M13" s="160">
        <v>157.14343</v>
      </c>
      <c r="N13" s="438">
        <v>402.21649500000001</v>
      </c>
      <c r="O13" s="160">
        <v>131.56515999999996</v>
      </c>
      <c r="P13" s="438">
        <v>361.37001900000001</v>
      </c>
      <c r="Q13" s="160">
        <v>232.00566000000001</v>
      </c>
      <c r="R13" s="438">
        <v>716.82609100000002</v>
      </c>
      <c r="S13" s="160">
        <v>251.70507000000001</v>
      </c>
      <c r="T13" s="438">
        <v>627.42927499999996</v>
      </c>
      <c r="U13" s="160">
        <v>224.40539999999999</v>
      </c>
      <c r="V13" s="438">
        <v>475.187453</v>
      </c>
      <c r="W13" s="160">
        <v>513.79755</v>
      </c>
      <c r="X13" s="438">
        <v>1447.974338</v>
      </c>
    </row>
    <row r="14" spans="1:30" ht="17.25" customHeight="1">
      <c r="A14" s="159">
        <v>8</v>
      </c>
      <c r="B14" s="437" t="s">
        <v>264</v>
      </c>
      <c r="C14" s="160">
        <v>1032.17517</v>
      </c>
      <c r="D14" s="438">
        <v>2718.4101690000002</v>
      </c>
      <c r="E14" s="160">
        <v>1044.14705</v>
      </c>
      <c r="F14" s="438">
        <v>3427.5369770000002</v>
      </c>
      <c r="G14" s="160">
        <v>1021.84465</v>
      </c>
      <c r="H14" s="438">
        <v>3045.144311</v>
      </c>
      <c r="I14" s="160">
        <v>1013.1335100000001</v>
      </c>
      <c r="J14" s="438">
        <v>2439.0997349999998</v>
      </c>
      <c r="K14" s="160">
        <v>715.74</v>
      </c>
      <c r="L14" s="438">
        <v>1849.75</v>
      </c>
      <c r="M14" s="160">
        <v>591.22</v>
      </c>
      <c r="N14" s="438">
        <v>1419.66</v>
      </c>
      <c r="O14" s="160">
        <v>529.56387000000007</v>
      </c>
      <c r="P14" s="438">
        <v>1374.024408</v>
      </c>
      <c r="Q14" s="160">
        <v>527.07000000000005</v>
      </c>
      <c r="R14" s="438">
        <v>1576.29</v>
      </c>
      <c r="S14" s="160">
        <v>517.80119000000002</v>
      </c>
      <c r="T14" s="438">
        <v>1322.009276</v>
      </c>
      <c r="U14" s="160">
        <v>491.06544000000008</v>
      </c>
      <c r="V14" s="438">
        <v>1103.4749549999999</v>
      </c>
      <c r="W14" s="160">
        <v>502.00754999999992</v>
      </c>
      <c r="X14" s="438">
        <v>1431.64904</v>
      </c>
    </row>
    <row r="15" spans="1:30" ht="17.25" customHeight="1">
      <c r="A15" s="159">
        <v>9</v>
      </c>
      <c r="B15" s="437" t="s">
        <v>20</v>
      </c>
      <c r="C15" s="160">
        <v>542.28953000000001</v>
      </c>
      <c r="D15" s="438">
        <v>1442.9677979999999</v>
      </c>
      <c r="E15" s="160">
        <v>551.44508000000008</v>
      </c>
      <c r="F15" s="438">
        <v>1927.8000360000001</v>
      </c>
      <c r="G15" s="160">
        <v>552.59570000000008</v>
      </c>
      <c r="H15" s="438">
        <v>1736.163221</v>
      </c>
      <c r="I15" s="160">
        <v>498.57419999999996</v>
      </c>
      <c r="J15" s="438">
        <v>1284.1965909999999</v>
      </c>
      <c r="K15" s="160">
        <v>520.83000000000004</v>
      </c>
      <c r="L15" s="438">
        <v>1352.7</v>
      </c>
      <c r="M15" s="160">
        <v>544.48</v>
      </c>
      <c r="N15" s="438">
        <v>1306.32</v>
      </c>
      <c r="O15" s="160">
        <v>442.42574999999999</v>
      </c>
      <c r="P15" s="438">
        <v>1176.841214</v>
      </c>
      <c r="Q15" s="160">
        <v>494.61</v>
      </c>
      <c r="R15" s="438">
        <v>1467.18</v>
      </c>
      <c r="S15" s="160">
        <v>460.73720000000003</v>
      </c>
      <c r="T15" s="438">
        <v>1160.283383</v>
      </c>
      <c r="U15" s="160">
        <v>498.50677999999999</v>
      </c>
      <c r="V15" s="438">
        <v>1139.2368180000001</v>
      </c>
      <c r="W15" s="160">
        <v>430.78557999999998</v>
      </c>
      <c r="X15" s="438">
        <v>1195.8226990000001</v>
      </c>
    </row>
    <row r="16" spans="1:30" ht="17.25" customHeight="1">
      <c r="A16" s="159">
        <v>10</v>
      </c>
      <c r="B16" s="437" t="s">
        <v>265</v>
      </c>
      <c r="C16" s="160">
        <v>360.25208999999995</v>
      </c>
      <c r="D16" s="438">
        <v>1020.002529</v>
      </c>
      <c r="E16" s="160">
        <v>421.55023000000006</v>
      </c>
      <c r="F16" s="438">
        <v>1444.085979</v>
      </c>
      <c r="G16" s="160">
        <v>458.60921000000002</v>
      </c>
      <c r="H16" s="438">
        <v>1366.4182490000001</v>
      </c>
      <c r="I16" s="160">
        <v>490.29204000000004</v>
      </c>
      <c r="J16" s="438">
        <v>1238.107716</v>
      </c>
      <c r="K16" s="160">
        <v>615.73</v>
      </c>
      <c r="L16" s="438">
        <v>1554.41</v>
      </c>
      <c r="M16" s="160">
        <v>582.91999999999996</v>
      </c>
      <c r="N16" s="438">
        <v>1354.13</v>
      </c>
      <c r="O16" s="160">
        <v>550.48199999999997</v>
      </c>
      <c r="P16" s="438">
        <v>1480.6552750000001</v>
      </c>
      <c r="Q16" s="160">
        <v>636.48</v>
      </c>
      <c r="R16" s="438">
        <v>1866.4</v>
      </c>
      <c r="S16" s="160">
        <v>453.25968000000006</v>
      </c>
      <c r="T16" s="438">
        <v>1083.440237</v>
      </c>
      <c r="U16" s="160">
        <v>584.63205000000005</v>
      </c>
      <c r="V16" s="438">
        <v>1287.4783159999999</v>
      </c>
      <c r="W16" s="160">
        <v>427.58476999999999</v>
      </c>
      <c r="X16" s="438">
        <v>1163.0431579999999</v>
      </c>
    </row>
    <row r="17" spans="1:24" ht="17.25" customHeight="1">
      <c r="A17" s="159">
        <v>11</v>
      </c>
      <c r="B17" s="437" t="s">
        <v>30</v>
      </c>
      <c r="C17" s="160">
        <v>25.718589999999995</v>
      </c>
      <c r="D17" s="438">
        <v>66.715235000000007</v>
      </c>
      <c r="E17" s="160">
        <v>392.98905999999994</v>
      </c>
      <c r="F17" s="438">
        <v>1410.37598</v>
      </c>
      <c r="G17" s="160">
        <v>139.94580999999999</v>
      </c>
      <c r="H17" s="438">
        <v>454.41180100000003</v>
      </c>
      <c r="I17" s="160">
        <v>121.60589999999999</v>
      </c>
      <c r="J17" s="438">
        <v>285.58885199999997</v>
      </c>
      <c r="K17" s="160">
        <v>175.26454000000001</v>
      </c>
      <c r="L17" s="438">
        <v>450.707785</v>
      </c>
      <c r="M17" s="160">
        <v>224.56979999999996</v>
      </c>
      <c r="N17" s="438">
        <v>514.17565500000001</v>
      </c>
      <c r="O17" s="160">
        <v>186.17229999999998</v>
      </c>
      <c r="P17" s="438">
        <v>509.74633</v>
      </c>
      <c r="Q17" s="160">
        <v>228.61566999999999</v>
      </c>
      <c r="R17" s="438">
        <v>668.59227099999998</v>
      </c>
      <c r="S17" s="160">
        <v>218.24146000000002</v>
      </c>
      <c r="T17" s="438">
        <v>538.39114600000005</v>
      </c>
      <c r="U17" s="160">
        <v>309.26933999999994</v>
      </c>
      <c r="V17" s="438">
        <v>710.54934400000002</v>
      </c>
      <c r="W17" s="160">
        <v>366.60977999999994</v>
      </c>
      <c r="X17" s="438">
        <v>1021.987184</v>
      </c>
    </row>
    <row r="18" spans="1:24" ht="17.25" customHeight="1">
      <c r="A18" s="159">
        <v>12</v>
      </c>
      <c r="B18" s="437" t="s">
        <v>19</v>
      </c>
      <c r="C18" s="160">
        <v>276.34455999999994</v>
      </c>
      <c r="D18" s="438">
        <v>805.90133400000002</v>
      </c>
      <c r="E18" s="160">
        <v>338.85068999999999</v>
      </c>
      <c r="F18" s="438">
        <v>1217.1993440000001</v>
      </c>
      <c r="G18" s="160">
        <v>619.77994999999999</v>
      </c>
      <c r="H18" s="438">
        <v>1879.37841</v>
      </c>
      <c r="I18" s="160">
        <v>638.02107999999998</v>
      </c>
      <c r="J18" s="438">
        <v>1684.1031640000001</v>
      </c>
      <c r="K18" s="160">
        <v>448.39</v>
      </c>
      <c r="L18" s="438">
        <v>1185.76</v>
      </c>
      <c r="M18" s="160">
        <v>335.51</v>
      </c>
      <c r="N18" s="438">
        <v>803.71</v>
      </c>
      <c r="O18" s="160">
        <v>338.73169000000007</v>
      </c>
      <c r="P18" s="438">
        <v>904.59439599999996</v>
      </c>
      <c r="Q18" s="160">
        <v>489.49</v>
      </c>
      <c r="R18" s="438">
        <v>1444.97</v>
      </c>
      <c r="S18" s="160">
        <v>485.21302999999995</v>
      </c>
      <c r="T18" s="438">
        <v>1178.6541890000001</v>
      </c>
      <c r="U18" s="160">
        <v>520.56632000000002</v>
      </c>
      <c r="V18" s="438">
        <v>1149.742229</v>
      </c>
      <c r="W18" s="160">
        <v>315.69903999999997</v>
      </c>
      <c r="X18" s="438">
        <v>895.108878</v>
      </c>
    </row>
    <row r="19" spans="1:24" ht="17.25" customHeight="1">
      <c r="A19" s="159">
        <v>13</v>
      </c>
      <c r="B19" s="437" t="s">
        <v>56</v>
      </c>
      <c r="C19" s="160">
        <v>37.821120000000001</v>
      </c>
      <c r="D19" s="438">
        <v>103.78216399999999</v>
      </c>
      <c r="E19" s="160">
        <v>44.612450000000003</v>
      </c>
      <c r="F19" s="438">
        <v>157.59406100000001</v>
      </c>
      <c r="G19" s="160">
        <v>47.592939999999992</v>
      </c>
      <c r="H19" s="438">
        <v>161.99253100000001</v>
      </c>
      <c r="I19" s="160">
        <v>57.13458</v>
      </c>
      <c r="J19" s="438">
        <v>151.75885</v>
      </c>
      <c r="K19" s="160">
        <v>114.67520000000002</v>
      </c>
      <c r="L19" s="438">
        <v>310.83168000000001</v>
      </c>
      <c r="M19" s="160">
        <v>66.953919999999997</v>
      </c>
      <c r="N19" s="438">
        <v>168.666291</v>
      </c>
      <c r="O19" s="160">
        <v>169.00663999999998</v>
      </c>
      <c r="P19" s="438">
        <v>481.40672899999998</v>
      </c>
      <c r="Q19" s="160">
        <v>377.05455999999998</v>
      </c>
      <c r="R19" s="438">
        <v>1123.056313</v>
      </c>
      <c r="S19" s="160">
        <v>374.75414000000001</v>
      </c>
      <c r="T19" s="438">
        <v>892.32629499999996</v>
      </c>
      <c r="U19" s="160">
        <v>127.25076999999999</v>
      </c>
      <c r="V19" s="438">
        <v>290.93107800000001</v>
      </c>
      <c r="W19" s="160">
        <v>314.46621000000005</v>
      </c>
      <c r="X19" s="438">
        <v>889.53209400000003</v>
      </c>
    </row>
    <row r="20" spans="1:24" ht="17.25" customHeight="1">
      <c r="A20" s="159">
        <v>14</v>
      </c>
      <c r="B20" s="437" t="s">
        <v>16</v>
      </c>
      <c r="C20" s="160">
        <v>170.89549</v>
      </c>
      <c r="D20" s="438">
        <v>480.192229</v>
      </c>
      <c r="E20" s="160">
        <v>149.00062999999994</v>
      </c>
      <c r="F20" s="438">
        <v>502.18977000000001</v>
      </c>
      <c r="G20" s="160">
        <v>249.23884000000001</v>
      </c>
      <c r="H20" s="438">
        <v>762.33954200000005</v>
      </c>
      <c r="I20" s="160">
        <v>373.74218999999999</v>
      </c>
      <c r="J20" s="438">
        <v>924.14187700000002</v>
      </c>
      <c r="K20" s="160">
        <v>278.56509</v>
      </c>
      <c r="L20" s="438">
        <v>706.66744800000004</v>
      </c>
      <c r="M20" s="160">
        <v>277.56324999999998</v>
      </c>
      <c r="N20" s="438">
        <v>644.39373399999999</v>
      </c>
      <c r="O20" s="160">
        <v>440.66256999999996</v>
      </c>
      <c r="P20" s="438">
        <v>1113.2889829999999</v>
      </c>
      <c r="Q20" s="160">
        <v>256.41979000000003</v>
      </c>
      <c r="R20" s="438">
        <v>753.46829700000001</v>
      </c>
      <c r="S20" s="160">
        <v>327.63079999999991</v>
      </c>
      <c r="T20" s="438">
        <v>768.644904</v>
      </c>
      <c r="U20" s="160">
        <v>124.46566</v>
      </c>
      <c r="V20" s="438">
        <v>273.82495399999999</v>
      </c>
      <c r="W20" s="160">
        <v>308.46478999999999</v>
      </c>
      <c r="X20" s="438">
        <v>835.15304300000003</v>
      </c>
    </row>
    <row r="21" spans="1:24" ht="17.25" customHeight="1">
      <c r="A21" s="159">
        <v>15</v>
      </c>
      <c r="B21" s="437" t="s">
        <v>159</v>
      </c>
      <c r="C21" s="160">
        <v>322.49453000000011</v>
      </c>
      <c r="D21" s="438">
        <v>802.90032399999996</v>
      </c>
      <c r="E21" s="160">
        <v>365.41320999999994</v>
      </c>
      <c r="F21" s="438">
        <v>1153.695127</v>
      </c>
      <c r="G21" s="160">
        <v>370.85141000000004</v>
      </c>
      <c r="H21" s="438">
        <v>1070.543848</v>
      </c>
      <c r="I21" s="160">
        <v>353.90934000000004</v>
      </c>
      <c r="J21" s="438">
        <v>794.30469000000005</v>
      </c>
      <c r="K21" s="160">
        <v>321.24</v>
      </c>
      <c r="L21" s="438">
        <v>803.56</v>
      </c>
      <c r="M21" s="160">
        <v>314.77</v>
      </c>
      <c r="N21" s="438">
        <v>694.5</v>
      </c>
      <c r="O21" s="160">
        <v>287.29662999999999</v>
      </c>
      <c r="P21" s="438">
        <v>690.26533700000005</v>
      </c>
      <c r="Q21" s="160">
        <v>290</v>
      </c>
      <c r="R21" s="438">
        <v>828.04</v>
      </c>
      <c r="S21" s="160">
        <v>265.39699000000002</v>
      </c>
      <c r="T21" s="438">
        <v>627.73698899999999</v>
      </c>
      <c r="U21" s="160">
        <v>296.38720000000001</v>
      </c>
      <c r="V21" s="438">
        <v>620.85807</v>
      </c>
      <c r="W21" s="160">
        <v>303.80896000000001</v>
      </c>
      <c r="X21" s="438">
        <v>824.70850299999995</v>
      </c>
    </row>
    <row r="22" spans="1:24" ht="17.25" customHeight="1">
      <c r="A22" s="159">
        <v>16</v>
      </c>
      <c r="B22" s="437" t="s">
        <v>22</v>
      </c>
      <c r="C22" s="160">
        <v>467.63418000000007</v>
      </c>
      <c r="D22" s="438">
        <v>1305.99974</v>
      </c>
      <c r="E22" s="160">
        <v>467.40782999999999</v>
      </c>
      <c r="F22" s="438">
        <v>1613.1763579999999</v>
      </c>
      <c r="G22" s="160">
        <v>598.55839000000003</v>
      </c>
      <c r="H22" s="438">
        <v>1846.613323</v>
      </c>
      <c r="I22" s="160">
        <v>472.29191000000009</v>
      </c>
      <c r="J22" s="438">
        <v>1201.5113670000001</v>
      </c>
      <c r="K22" s="160">
        <v>362.6</v>
      </c>
      <c r="L22" s="438">
        <v>991.62</v>
      </c>
      <c r="M22" s="160">
        <v>221.81</v>
      </c>
      <c r="N22" s="438">
        <v>594.30999999999995</v>
      </c>
      <c r="O22" s="160">
        <v>251.94278000000003</v>
      </c>
      <c r="P22" s="438">
        <v>727.236852</v>
      </c>
      <c r="Q22" s="160">
        <v>292.37</v>
      </c>
      <c r="R22" s="438">
        <v>882.97</v>
      </c>
      <c r="S22" s="160">
        <v>251.08402999999996</v>
      </c>
      <c r="T22" s="438">
        <v>700.46548299999995</v>
      </c>
      <c r="U22" s="160">
        <v>325.95800999999994</v>
      </c>
      <c r="V22" s="438">
        <v>791.71757500000001</v>
      </c>
      <c r="W22" s="160">
        <v>252.45914000000005</v>
      </c>
      <c r="X22" s="438">
        <v>765.40639599999997</v>
      </c>
    </row>
    <row r="23" spans="1:24" ht="17.25" customHeight="1">
      <c r="A23" s="159">
        <v>17</v>
      </c>
      <c r="B23" s="437" t="s">
        <v>307</v>
      </c>
      <c r="C23" s="160">
        <v>98.00985</v>
      </c>
      <c r="D23" s="438">
        <v>313.37210900000002</v>
      </c>
      <c r="E23" s="160">
        <v>110.78348</v>
      </c>
      <c r="F23" s="438">
        <v>427.05920200000003</v>
      </c>
      <c r="G23" s="160">
        <v>176.41036</v>
      </c>
      <c r="H23" s="438">
        <v>580.16873699999996</v>
      </c>
      <c r="I23" s="160">
        <v>122.86808999999998</v>
      </c>
      <c r="J23" s="438">
        <v>340.05413299999998</v>
      </c>
      <c r="K23" s="160">
        <v>96.535269999999997</v>
      </c>
      <c r="L23" s="438">
        <v>269.25191599999999</v>
      </c>
      <c r="M23" s="160">
        <v>163.07301000000001</v>
      </c>
      <c r="N23" s="438">
        <v>386.78119099999998</v>
      </c>
      <c r="O23" s="160">
        <v>202.06354000000002</v>
      </c>
      <c r="P23" s="438">
        <v>548.70412199999998</v>
      </c>
      <c r="Q23" s="160">
        <v>266.30399999999997</v>
      </c>
      <c r="R23" s="438">
        <v>797.06006300000001</v>
      </c>
      <c r="S23" s="160">
        <v>238.29563999999996</v>
      </c>
      <c r="T23" s="438">
        <v>568.70712200000003</v>
      </c>
      <c r="U23" s="160">
        <v>152.11075</v>
      </c>
      <c r="V23" s="438">
        <v>354.95507800000001</v>
      </c>
      <c r="W23" s="160">
        <v>240.33647999999999</v>
      </c>
      <c r="X23" s="438">
        <v>693.02362500000004</v>
      </c>
    </row>
    <row r="24" spans="1:24" ht="17.25" customHeight="1">
      <c r="A24" s="159">
        <v>18</v>
      </c>
      <c r="B24" s="437" t="s">
        <v>291</v>
      </c>
      <c r="C24" s="160">
        <v>46.525160000000007</v>
      </c>
      <c r="D24" s="438">
        <v>123.727538</v>
      </c>
      <c r="E24" s="160">
        <v>9.8632600000000004</v>
      </c>
      <c r="F24" s="438">
        <v>31.247685000000001</v>
      </c>
      <c r="G24" s="160">
        <v>7.2604799999999994</v>
      </c>
      <c r="H24" s="438">
        <v>20.559704</v>
      </c>
      <c r="I24" s="160">
        <v>13.021570000000001</v>
      </c>
      <c r="J24" s="438">
        <v>32.763027999999998</v>
      </c>
      <c r="K24" s="160">
        <v>81.726340000000008</v>
      </c>
      <c r="L24" s="438">
        <v>198.999346</v>
      </c>
      <c r="M24" s="160">
        <v>98.177790000000016</v>
      </c>
      <c r="N24" s="438">
        <v>223.57980900000001</v>
      </c>
      <c r="O24" s="160">
        <v>177.41683</v>
      </c>
      <c r="P24" s="438">
        <v>469.40293400000002</v>
      </c>
      <c r="Q24" s="160">
        <v>132.76813000000001</v>
      </c>
      <c r="R24" s="438">
        <v>381.99508200000002</v>
      </c>
      <c r="S24" s="160">
        <v>198.45986000000002</v>
      </c>
      <c r="T24" s="438">
        <v>465.91206799999998</v>
      </c>
      <c r="U24" s="160">
        <v>167.51510999999999</v>
      </c>
      <c r="V24" s="438">
        <v>359.38410699999997</v>
      </c>
      <c r="W24" s="160">
        <v>243.10420999999997</v>
      </c>
      <c r="X24" s="438">
        <v>686.39334499999995</v>
      </c>
    </row>
    <row r="25" spans="1:24" ht="17.25" customHeight="1">
      <c r="A25" s="159">
        <v>19</v>
      </c>
      <c r="B25" s="437" t="s">
        <v>209</v>
      </c>
      <c r="C25" s="160">
        <v>153.57410999999999</v>
      </c>
      <c r="D25" s="438">
        <v>411.12512900000002</v>
      </c>
      <c r="E25" s="160">
        <v>136.91689000000002</v>
      </c>
      <c r="F25" s="438">
        <v>459.62785100000002</v>
      </c>
      <c r="G25" s="160">
        <v>136.51165</v>
      </c>
      <c r="H25" s="438">
        <v>419.31797599999999</v>
      </c>
      <c r="I25" s="160">
        <v>159.60929999999999</v>
      </c>
      <c r="J25" s="438">
        <v>393.97041100000001</v>
      </c>
      <c r="K25" s="160">
        <v>205.24223000000001</v>
      </c>
      <c r="L25" s="438">
        <v>520.04310799999996</v>
      </c>
      <c r="M25" s="160">
        <v>188.86166</v>
      </c>
      <c r="N25" s="438">
        <v>443.931937</v>
      </c>
      <c r="O25" s="160">
        <v>198.16706999999997</v>
      </c>
      <c r="P25" s="438">
        <v>532.99397599999998</v>
      </c>
      <c r="Q25" s="160">
        <v>219.93185</v>
      </c>
      <c r="R25" s="438">
        <v>657.79689399999995</v>
      </c>
      <c r="S25" s="160">
        <v>215.98894999999999</v>
      </c>
      <c r="T25" s="438">
        <v>532.28435999999999</v>
      </c>
      <c r="U25" s="160">
        <v>223.86770000000001</v>
      </c>
      <c r="V25" s="438">
        <v>490.32557200000002</v>
      </c>
      <c r="W25" s="160">
        <v>214.45403999999999</v>
      </c>
      <c r="X25" s="438">
        <v>588.05645100000004</v>
      </c>
    </row>
    <row r="26" spans="1:24" ht="17.25" customHeight="1">
      <c r="A26" s="319">
        <v>20</v>
      </c>
      <c r="B26" s="447" t="s">
        <v>309</v>
      </c>
      <c r="C26" s="160">
        <v>218.19341999999997</v>
      </c>
      <c r="D26" s="438">
        <v>688.02362200000005</v>
      </c>
      <c r="E26" s="160">
        <v>154.96058999999997</v>
      </c>
      <c r="F26" s="438">
        <v>588.82728099999997</v>
      </c>
      <c r="G26" s="160">
        <v>181.90149</v>
      </c>
      <c r="H26" s="438">
        <v>626.89581599999997</v>
      </c>
      <c r="I26" s="160">
        <v>128.92831000000001</v>
      </c>
      <c r="J26" s="438">
        <v>376.75301000000002</v>
      </c>
      <c r="K26" s="160">
        <v>135.68672000000001</v>
      </c>
      <c r="L26" s="438">
        <v>394.17177500000003</v>
      </c>
      <c r="M26" s="160">
        <v>58.151409999999991</v>
      </c>
      <c r="N26" s="438">
        <v>155.027818</v>
      </c>
      <c r="O26" s="160">
        <v>35.240259999999999</v>
      </c>
      <c r="P26" s="438">
        <v>105.092488</v>
      </c>
      <c r="Q26" s="160">
        <v>80.688790000000012</v>
      </c>
      <c r="R26" s="438">
        <v>266.83917700000001</v>
      </c>
      <c r="S26" s="160">
        <v>148.99118999999999</v>
      </c>
      <c r="T26" s="438">
        <v>380.48999900000001</v>
      </c>
      <c r="U26" s="160">
        <v>85.374750000000006</v>
      </c>
      <c r="V26" s="438">
        <v>199.97113100000001</v>
      </c>
      <c r="W26" s="160">
        <v>173.32312999999996</v>
      </c>
      <c r="X26" s="438">
        <v>509.249368</v>
      </c>
    </row>
    <row r="27" spans="1:24" ht="17.25" customHeight="1">
      <c r="A27" s="604" t="s">
        <v>15</v>
      </c>
      <c r="B27" s="605"/>
      <c r="C27" s="160">
        <v>4042.7990599999994</v>
      </c>
      <c r="D27" s="160">
        <v>11371.446443000001</v>
      </c>
      <c r="E27" s="160">
        <v>3663.6530999999959</v>
      </c>
      <c r="F27" s="160">
        <v>12767.997336000008</v>
      </c>
      <c r="G27" s="160">
        <v>3051.5652600000049</v>
      </c>
      <c r="H27" s="160">
        <v>9614.1153299999933</v>
      </c>
      <c r="I27" s="160">
        <v>3341.4279799999949</v>
      </c>
      <c r="J27" s="160">
        <v>9031.6697950000016</v>
      </c>
      <c r="K27" s="160">
        <v>2861.0549800000026</v>
      </c>
      <c r="L27" s="160">
        <v>8096.394272000005</v>
      </c>
      <c r="M27" s="160">
        <v>2913.6172399999996</v>
      </c>
      <c r="N27" s="160">
        <v>7991.0201950000046</v>
      </c>
      <c r="O27" s="160">
        <v>2704.2127099999998</v>
      </c>
      <c r="P27" s="160">
        <v>8134.6890009999915</v>
      </c>
      <c r="Q27" s="160">
        <v>3124.2915499999963</v>
      </c>
      <c r="R27" s="160">
        <v>10436.745811999994</v>
      </c>
      <c r="S27" s="160">
        <v>2964.2268699999931</v>
      </c>
      <c r="T27" s="160">
        <v>8282.8721299999925</v>
      </c>
      <c r="U27" s="160">
        <v>2399.0607799999834</v>
      </c>
      <c r="V27" s="160">
        <v>6188.223831000003</v>
      </c>
      <c r="W27" s="160">
        <v>2382.4180299999898</v>
      </c>
      <c r="X27" s="160">
        <v>7229.2517020000087</v>
      </c>
    </row>
    <row r="28" spans="1:24" s="85" customFormat="1" ht="17.25" customHeight="1">
      <c r="A28" s="601" t="s">
        <v>0</v>
      </c>
      <c r="B28" s="601"/>
      <c r="C28" s="161">
        <v>16944.766760000002</v>
      </c>
      <c r="D28" s="162">
        <v>45322.027022000002</v>
      </c>
      <c r="E28" s="161">
        <v>18265.984109999998</v>
      </c>
      <c r="F28" s="162">
        <v>60993.212762000003</v>
      </c>
      <c r="G28" s="161">
        <v>17844.029520000007</v>
      </c>
      <c r="H28" s="162">
        <v>53607.101362000001</v>
      </c>
      <c r="I28" s="161">
        <v>17794.615309999997</v>
      </c>
      <c r="J28" s="162">
        <v>44141.531727000001</v>
      </c>
      <c r="K28" s="161">
        <v>16572.52</v>
      </c>
      <c r="L28" s="162">
        <v>42809.4</v>
      </c>
      <c r="M28" s="161">
        <v>16866.18</v>
      </c>
      <c r="N28" s="162">
        <v>40118.230000000003</v>
      </c>
      <c r="O28" s="161">
        <v>15309.923610000002</v>
      </c>
      <c r="P28" s="162">
        <v>41442.911744999998</v>
      </c>
      <c r="Q28" s="161">
        <v>15187.73</v>
      </c>
      <c r="R28" s="162">
        <v>46085.42</v>
      </c>
      <c r="S28" s="161">
        <v>15363.858689999992</v>
      </c>
      <c r="T28" s="162">
        <v>38655.127031999997</v>
      </c>
      <c r="U28" s="161">
        <v>17428.686929999985</v>
      </c>
      <c r="V28" s="162">
        <v>39128.224384000001</v>
      </c>
      <c r="W28" s="161">
        <v>16215.948899999992</v>
      </c>
      <c r="X28" s="162">
        <v>45656.332713999996</v>
      </c>
    </row>
    <row r="29" spans="1:24" ht="17.25" customHeight="1">
      <c r="A29" s="164" t="s">
        <v>260</v>
      </c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</row>
    <row r="30" spans="1:24" ht="17.25" customHeight="1">
      <c r="A30" s="373" t="s">
        <v>267</v>
      </c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</row>
    <row r="31" spans="1:24" ht="17.25" customHeight="1">
      <c r="A31" s="146" t="s">
        <v>268</v>
      </c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</row>
    <row r="32" spans="1:24" ht="17.25" customHeight="1">
      <c r="A32" s="374" t="s">
        <v>269</v>
      </c>
    </row>
    <row r="33" spans="1:1" ht="17.25" customHeight="1">
      <c r="A33" s="29" t="s">
        <v>308</v>
      </c>
    </row>
  </sheetData>
  <mergeCells count="17">
    <mergeCell ref="A2:V2"/>
    <mergeCell ref="A3:V3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27:B27"/>
    <mergeCell ref="W5:X5"/>
    <mergeCell ref="A28:B28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3"/>
  <sheetViews>
    <sheetView view="pageBreakPreview" zoomScaleNormal="100" zoomScaleSheetLayoutView="100" workbookViewId="0">
      <pane xSplit="2" ySplit="6" topLeftCell="G7" activePane="bottomRight" state="frozen"/>
      <selection activeCell="H38" sqref="H38"/>
      <selection pane="topRight" activeCell="H38" sqref="H38"/>
      <selection pane="bottomLeft" activeCell="H38" sqref="H38"/>
      <selection pane="bottomRight" activeCell="H38" sqref="H38"/>
    </sheetView>
  </sheetViews>
  <sheetFormatPr defaultColWidth="9.1640625" defaultRowHeight="17.25" customHeight="1"/>
  <cols>
    <col min="1" max="1" width="9.1640625" style="29" customWidth="1"/>
    <col min="2" max="2" width="17.6640625" style="29" customWidth="1"/>
    <col min="3" max="3" width="16" style="29" bestFit="1" customWidth="1"/>
    <col min="4" max="4" width="15.5" style="29" bestFit="1" customWidth="1"/>
    <col min="5" max="5" width="16" style="29" bestFit="1" customWidth="1"/>
    <col min="6" max="6" width="15.5" style="29" bestFit="1" customWidth="1"/>
    <col min="7" max="7" width="16" style="29" bestFit="1" customWidth="1"/>
    <col min="8" max="8" width="15.5" style="29" bestFit="1" customWidth="1"/>
    <col min="9" max="9" width="16" style="29" bestFit="1" customWidth="1"/>
    <col min="10" max="10" width="15.5" style="29" bestFit="1" customWidth="1"/>
    <col min="11" max="11" width="16" style="29" bestFit="1" customWidth="1"/>
    <col min="12" max="12" width="15.5" style="29" bestFit="1" customWidth="1"/>
    <col min="13" max="13" width="16" style="29" bestFit="1" customWidth="1"/>
    <col min="14" max="14" width="15.5" style="29" bestFit="1" customWidth="1"/>
    <col min="15" max="15" width="16" style="29" bestFit="1" customWidth="1"/>
    <col min="16" max="16" width="15.5" style="29" bestFit="1" customWidth="1"/>
    <col min="17" max="17" width="16" style="29" bestFit="1" customWidth="1"/>
    <col min="18" max="18" width="15.5" style="29" bestFit="1" customWidth="1"/>
    <col min="19" max="19" width="16" style="29" bestFit="1" customWidth="1"/>
    <col min="20" max="20" width="15.5" style="29" bestFit="1" customWidth="1"/>
    <col min="21" max="21" width="16" style="29" bestFit="1" customWidth="1"/>
    <col min="22" max="22" width="15.5" style="29" bestFit="1" customWidth="1"/>
    <col min="23" max="23" width="16" style="29" bestFit="1" customWidth="1"/>
    <col min="24" max="24" width="15.5" style="29" bestFit="1" customWidth="1"/>
    <col min="25" max="16384" width="9.1640625" style="29"/>
  </cols>
  <sheetData>
    <row r="2" spans="1:28" s="163" customFormat="1" ht="17.25" customHeight="1">
      <c r="A2" s="565" t="s">
        <v>219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478"/>
      <c r="Z2" s="478"/>
      <c r="AA2" s="478"/>
      <c r="AB2" s="478"/>
    </row>
    <row r="3" spans="1:28" s="163" customFormat="1" ht="17.25" customHeight="1">
      <c r="A3" s="565" t="s">
        <v>266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478"/>
      <c r="Z3" s="478"/>
      <c r="AA3" s="478"/>
      <c r="AB3" s="478"/>
    </row>
    <row r="4" spans="1:28" s="163" customFormat="1" ht="17.25" customHeight="1">
      <c r="A4" s="23"/>
      <c r="B4" s="23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23"/>
      <c r="Z4" s="23"/>
      <c r="AA4" s="23"/>
      <c r="AB4" s="23"/>
    </row>
    <row r="5" spans="1:28" s="85" customFormat="1" ht="17.25" customHeight="1">
      <c r="A5" s="606" t="s">
        <v>205</v>
      </c>
      <c r="B5" s="608" t="s">
        <v>206</v>
      </c>
      <c r="C5" s="594">
        <v>2010</v>
      </c>
      <c r="D5" s="595"/>
      <c r="E5" s="594">
        <v>2011</v>
      </c>
      <c r="F5" s="595"/>
      <c r="G5" s="594">
        <v>2012</v>
      </c>
      <c r="H5" s="595"/>
      <c r="I5" s="594">
        <v>2013</v>
      </c>
      <c r="J5" s="595"/>
      <c r="K5" s="594">
        <v>2014</v>
      </c>
      <c r="L5" s="595"/>
      <c r="M5" s="594">
        <v>2015</v>
      </c>
      <c r="N5" s="595"/>
      <c r="O5" s="594">
        <v>2016</v>
      </c>
      <c r="P5" s="595"/>
      <c r="Q5" s="594">
        <v>2017</v>
      </c>
      <c r="R5" s="595"/>
      <c r="S5" s="594">
        <v>2018</v>
      </c>
      <c r="T5" s="595"/>
      <c r="U5" s="594" t="s">
        <v>300</v>
      </c>
      <c r="V5" s="595"/>
      <c r="W5" s="594" t="s">
        <v>301</v>
      </c>
      <c r="X5" s="595"/>
    </row>
    <row r="6" spans="1:28" s="85" customFormat="1" ht="30">
      <c r="A6" s="607"/>
      <c r="B6" s="609"/>
      <c r="C6" s="73" t="s">
        <v>207</v>
      </c>
      <c r="D6" s="73" t="s">
        <v>202</v>
      </c>
      <c r="E6" s="73" t="s">
        <v>207</v>
      </c>
      <c r="F6" s="73" t="s">
        <v>202</v>
      </c>
      <c r="G6" s="73" t="s">
        <v>207</v>
      </c>
      <c r="H6" s="73" t="s">
        <v>202</v>
      </c>
      <c r="I6" s="73" t="s">
        <v>207</v>
      </c>
      <c r="J6" s="73" t="s">
        <v>202</v>
      </c>
      <c r="K6" s="73" t="s">
        <v>207</v>
      </c>
      <c r="L6" s="73" t="s">
        <v>202</v>
      </c>
      <c r="M6" s="73" t="s">
        <v>207</v>
      </c>
      <c r="N6" s="73" t="s">
        <v>202</v>
      </c>
      <c r="O6" s="73" t="s">
        <v>207</v>
      </c>
      <c r="P6" s="73" t="s">
        <v>202</v>
      </c>
      <c r="Q6" s="73" t="s">
        <v>207</v>
      </c>
      <c r="R6" s="73" t="s">
        <v>202</v>
      </c>
      <c r="S6" s="73" t="s">
        <v>207</v>
      </c>
      <c r="T6" s="73" t="s">
        <v>202</v>
      </c>
      <c r="U6" s="73" t="s">
        <v>207</v>
      </c>
      <c r="V6" s="73" t="s">
        <v>202</v>
      </c>
      <c r="W6" s="73" t="s">
        <v>207</v>
      </c>
      <c r="X6" s="73" t="s">
        <v>202</v>
      </c>
    </row>
    <row r="7" spans="1:28" ht="17.25" customHeight="1">
      <c r="A7" s="159">
        <v>1</v>
      </c>
      <c r="B7" s="435" t="s">
        <v>47</v>
      </c>
      <c r="C7" s="160">
        <v>84.258239999999986</v>
      </c>
      <c r="D7" s="436">
        <v>340.731697</v>
      </c>
      <c r="E7" s="160">
        <v>134.78941000000003</v>
      </c>
      <c r="F7" s="436">
        <v>643.30328399999996</v>
      </c>
      <c r="G7" s="160">
        <v>134.47740000000002</v>
      </c>
      <c r="H7" s="436">
        <v>492.15537</v>
      </c>
      <c r="I7" s="160">
        <v>190.79152999999999</v>
      </c>
      <c r="J7" s="436">
        <v>536.74782500000003</v>
      </c>
      <c r="K7" s="160">
        <v>232.45519999999999</v>
      </c>
      <c r="L7" s="436">
        <v>817.94757500000014</v>
      </c>
      <c r="M7" s="160">
        <v>254.65630999999996</v>
      </c>
      <c r="N7" s="436">
        <v>907.00817200000006</v>
      </c>
      <c r="O7" s="160">
        <v>249.20608000000004</v>
      </c>
      <c r="P7" s="436">
        <v>1333.0244239999993</v>
      </c>
      <c r="Q7" s="160">
        <v>264.65133999999995</v>
      </c>
      <c r="R7" s="436">
        <v>1498.043199</v>
      </c>
      <c r="S7" s="160">
        <v>243.62270000000001</v>
      </c>
      <c r="T7" s="436">
        <v>1053.5691549999999</v>
      </c>
      <c r="U7" s="160">
        <v>233.37287999999995</v>
      </c>
      <c r="V7" s="436">
        <v>672.29833299999996</v>
      </c>
      <c r="W7" s="160">
        <v>366.14316000000008</v>
      </c>
      <c r="X7" s="436">
        <v>1281.7976679999999</v>
      </c>
    </row>
    <row r="8" spans="1:28" ht="17.25" customHeight="1">
      <c r="A8" s="159">
        <v>2</v>
      </c>
      <c r="B8" s="437" t="s">
        <v>246</v>
      </c>
      <c r="C8" s="160">
        <v>194.18424000000002</v>
      </c>
      <c r="D8" s="438">
        <v>694.64254700000004</v>
      </c>
      <c r="E8" s="160">
        <v>165.72911999999997</v>
      </c>
      <c r="F8" s="438">
        <v>773.76428699999997</v>
      </c>
      <c r="G8" s="160">
        <v>182.83197000000001</v>
      </c>
      <c r="H8" s="438">
        <v>605.45558800000003</v>
      </c>
      <c r="I8" s="160">
        <v>257.29725000000002</v>
      </c>
      <c r="J8" s="438">
        <v>687.58420899999999</v>
      </c>
      <c r="K8" s="160">
        <v>163.42782999999997</v>
      </c>
      <c r="L8" s="438">
        <v>544.10158300000001</v>
      </c>
      <c r="M8" s="160">
        <v>134.27991</v>
      </c>
      <c r="N8" s="438">
        <v>474.38027899999997</v>
      </c>
      <c r="O8" s="160">
        <v>156.63108000000003</v>
      </c>
      <c r="P8" s="438">
        <v>769.52292799999998</v>
      </c>
      <c r="Q8" s="160">
        <v>167.21439000000001</v>
      </c>
      <c r="R8" s="438">
        <v>936.89205400000003</v>
      </c>
      <c r="S8" s="160">
        <v>150.09244000000001</v>
      </c>
      <c r="T8" s="438">
        <v>591.91288999999995</v>
      </c>
      <c r="U8" s="160">
        <v>189.45066999999997</v>
      </c>
      <c r="V8" s="438">
        <v>523.27752599999997</v>
      </c>
      <c r="W8" s="160">
        <v>214.92747000000003</v>
      </c>
      <c r="X8" s="438">
        <v>684.63815799999998</v>
      </c>
    </row>
    <row r="9" spans="1:28" ht="17.25" customHeight="1">
      <c r="A9" s="159">
        <v>3</v>
      </c>
      <c r="B9" s="437" t="s">
        <v>208</v>
      </c>
      <c r="C9" s="160">
        <v>233.21293</v>
      </c>
      <c r="D9" s="438">
        <v>873.576502</v>
      </c>
      <c r="E9" s="160">
        <v>258.80462</v>
      </c>
      <c r="F9" s="438">
        <v>1331.650048</v>
      </c>
      <c r="G9" s="160">
        <v>223.74824999999998</v>
      </c>
      <c r="H9" s="438">
        <v>867.780663</v>
      </c>
      <c r="I9" s="160">
        <v>207.47953999999999</v>
      </c>
      <c r="J9" s="438">
        <v>603.79094999999995</v>
      </c>
      <c r="K9" s="160">
        <v>171.51894000000001</v>
      </c>
      <c r="L9" s="438">
        <v>686.85560499999997</v>
      </c>
      <c r="M9" s="160">
        <v>184.65567000000001</v>
      </c>
      <c r="N9" s="438">
        <v>737.34632799999997</v>
      </c>
      <c r="O9" s="160">
        <v>148.26571000000001</v>
      </c>
      <c r="P9" s="438">
        <v>782.60087299999998</v>
      </c>
      <c r="Q9" s="160">
        <v>106.53118999999998</v>
      </c>
      <c r="R9" s="438">
        <v>665.81560999999999</v>
      </c>
      <c r="S9" s="160">
        <v>77.266870000000011</v>
      </c>
      <c r="T9" s="438">
        <v>360.99119400000001</v>
      </c>
      <c r="U9" s="160">
        <v>79.799449999999979</v>
      </c>
      <c r="V9" s="438">
        <v>263.08586100000002</v>
      </c>
      <c r="W9" s="160">
        <v>86.223230000000001</v>
      </c>
      <c r="X9" s="438">
        <v>300.97406100000001</v>
      </c>
    </row>
    <row r="10" spans="1:28" ht="17.25" customHeight="1">
      <c r="A10" s="159">
        <v>4</v>
      </c>
      <c r="B10" s="437" t="s">
        <v>23</v>
      </c>
      <c r="C10" s="160">
        <v>1.0688599999999999</v>
      </c>
      <c r="D10" s="438">
        <v>5.0586589999999996</v>
      </c>
      <c r="E10" s="160">
        <v>21.383650000000003</v>
      </c>
      <c r="F10" s="438">
        <v>110.7777</v>
      </c>
      <c r="G10" s="160">
        <v>14.78251</v>
      </c>
      <c r="H10" s="438">
        <v>52.519241999999998</v>
      </c>
      <c r="I10" s="160">
        <v>10.500590000000001</v>
      </c>
      <c r="J10" s="438">
        <v>26.382313</v>
      </c>
      <c r="K10" s="160">
        <v>11.641459999999999</v>
      </c>
      <c r="L10" s="438">
        <v>42.566819000000002</v>
      </c>
      <c r="M10" s="160">
        <v>32.795169999999999</v>
      </c>
      <c r="N10" s="438">
        <v>112.975289</v>
      </c>
      <c r="O10" s="160">
        <v>62.592100000000009</v>
      </c>
      <c r="P10" s="438">
        <v>333.26468599999998</v>
      </c>
      <c r="Q10" s="160">
        <v>65.983590000000007</v>
      </c>
      <c r="R10" s="438">
        <v>381.29318699999999</v>
      </c>
      <c r="S10" s="160">
        <v>61.483609999999999</v>
      </c>
      <c r="T10" s="438">
        <v>278.69223599999998</v>
      </c>
      <c r="U10" s="160">
        <v>77.400890000000004</v>
      </c>
      <c r="V10" s="438">
        <v>241.44130100000001</v>
      </c>
      <c r="W10" s="160">
        <v>81.257660000000001</v>
      </c>
      <c r="X10" s="438">
        <v>288.28461399999998</v>
      </c>
    </row>
    <row r="11" spans="1:28" ht="17.25" customHeight="1">
      <c r="A11" s="159">
        <v>5</v>
      </c>
      <c r="B11" s="437" t="s">
        <v>18</v>
      </c>
      <c r="C11" s="160">
        <v>14.838580000000002</v>
      </c>
      <c r="D11" s="438">
        <v>45.387390000000003</v>
      </c>
      <c r="E11" s="160">
        <v>7.3944299999999989</v>
      </c>
      <c r="F11" s="438">
        <v>35.257407999999998</v>
      </c>
      <c r="G11" s="160">
        <v>17.846220000000002</v>
      </c>
      <c r="H11" s="438">
        <v>65.111216999999996</v>
      </c>
      <c r="I11" s="160">
        <v>33.979849999999999</v>
      </c>
      <c r="J11" s="438">
        <v>89.404107999999994</v>
      </c>
      <c r="K11" s="160">
        <v>66.190010000000015</v>
      </c>
      <c r="L11" s="438">
        <v>229.10688400000001</v>
      </c>
      <c r="M11" s="160">
        <v>45.028829999999999</v>
      </c>
      <c r="N11" s="438">
        <v>149.759332</v>
      </c>
      <c r="O11" s="160">
        <v>32.19829</v>
      </c>
      <c r="P11" s="438">
        <v>188.23187999999999</v>
      </c>
      <c r="Q11" s="160">
        <v>45.835239999999999</v>
      </c>
      <c r="R11" s="438">
        <v>250.632836</v>
      </c>
      <c r="S11" s="160">
        <v>61.436289999999993</v>
      </c>
      <c r="T11" s="438">
        <v>214.574896</v>
      </c>
      <c r="U11" s="160">
        <v>83.794879999999992</v>
      </c>
      <c r="V11" s="438">
        <v>213.43826899999999</v>
      </c>
      <c r="W11" s="160">
        <v>51.761499999999998</v>
      </c>
      <c r="X11" s="438">
        <v>177.21857700000001</v>
      </c>
    </row>
    <row r="12" spans="1:28" ht="17.25" customHeight="1">
      <c r="A12" s="159">
        <v>6</v>
      </c>
      <c r="B12" s="437" t="s">
        <v>17</v>
      </c>
      <c r="C12" s="160">
        <v>75.465339999999998</v>
      </c>
      <c r="D12" s="438">
        <v>273.85190499999999</v>
      </c>
      <c r="E12" s="160">
        <v>60.561779999999985</v>
      </c>
      <c r="F12" s="438">
        <v>308.44649700000002</v>
      </c>
      <c r="G12" s="160">
        <v>37.68647</v>
      </c>
      <c r="H12" s="438">
        <v>144.76128199999999</v>
      </c>
      <c r="I12" s="160">
        <v>48.924669999999999</v>
      </c>
      <c r="J12" s="438">
        <v>147.73074500000001</v>
      </c>
      <c r="K12" s="160">
        <v>58.5458</v>
      </c>
      <c r="L12" s="438">
        <v>221.05825300000001</v>
      </c>
      <c r="M12" s="160">
        <v>44.304470000000002</v>
      </c>
      <c r="N12" s="438">
        <v>175.46048300000001</v>
      </c>
      <c r="O12" s="160">
        <v>36.122959999999999</v>
      </c>
      <c r="P12" s="438">
        <v>189.93847500000001</v>
      </c>
      <c r="Q12" s="160">
        <v>23.687909999999999</v>
      </c>
      <c r="R12" s="438">
        <v>149.169611</v>
      </c>
      <c r="S12" s="160">
        <v>33.295230000000004</v>
      </c>
      <c r="T12" s="438">
        <v>174.27728999999999</v>
      </c>
      <c r="U12" s="160">
        <v>29.02262</v>
      </c>
      <c r="V12" s="438">
        <v>121.061763</v>
      </c>
      <c r="W12" s="160">
        <v>36.095529999999997</v>
      </c>
      <c r="X12" s="438">
        <v>152.59213</v>
      </c>
    </row>
    <row r="13" spans="1:28" ht="17.25" customHeight="1">
      <c r="A13" s="159">
        <v>7</v>
      </c>
      <c r="B13" s="437" t="s">
        <v>20</v>
      </c>
      <c r="C13" s="160">
        <v>87.998800000000003</v>
      </c>
      <c r="D13" s="438">
        <v>314.70449500000001</v>
      </c>
      <c r="E13" s="160">
        <v>95.980000000000018</v>
      </c>
      <c r="F13" s="438">
        <v>525.07459200000005</v>
      </c>
      <c r="G13" s="160">
        <v>90.073230000000009</v>
      </c>
      <c r="H13" s="438">
        <v>349.79728499999999</v>
      </c>
      <c r="I13" s="160">
        <v>75.910889999999995</v>
      </c>
      <c r="J13" s="438">
        <v>211.68785700000001</v>
      </c>
      <c r="K13" s="160">
        <v>60.678550000000001</v>
      </c>
      <c r="L13" s="438">
        <v>239.620351</v>
      </c>
      <c r="M13" s="160">
        <v>55.493270000000003</v>
      </c>
      <c r="N13" s="438">
        <v>207.727059</v>
      </c>
      <c r="O13" s="160">
        <v>31.916190000000004</v>
      </c>
      <c r="P13" s="438">
        <v>157.320987</v>
      </c>
      <c r="Q13" s="160">
        <v>21.034729999999996</v>
      </c>
      <c r="R13" s="438">
        <v>118.208026</v>
      </c>
      <c r="S13" s="160">
        <v>18.844259999999998</v>
      </c>
      <c r="T13" s="438">
        <v>87.736850000000004</v>
      </c>
      <c r="U13" s="160">
        <v>24.303039999999996</v>
      </c>
      <c r="V13" s="438">
        <v>83.057400999999999</v>
      </c>
      <c r="W13" s="160">
        <v>26.515340000000002</v>
      </c>
      <c r="X13" s="438">
        <v>96.666460000000001</v>
      </c>
    </row>
    <row r="14" spans="1:28" ht="17.25" customHeight="1">
      <c r="A14" s="159">
        <v>8</v>
      </c>
      <c r="B14" s="437" t="s">
        <v>43</v>
      </c>
      <c r="C14" s="160">
        <v>1.5351300000000001</v>
      </c>
      <c r="D14" s="438">
        <v>6.6033530000000003</v>
      </c>
      <c r="E14" s="160">
        <v>11.473579999999998</v>
      </c>
      <c r="F14" s="438">
        <v>56.940136000000003</v>
      </c>
      <c r="G14" s="160">
        <v>7.3487299999999998</v>
      </c>
      <c r="H14" s="438">
        <v>31.221788</v>
      </c>
      <c r="I14" s="160">
        <v>11.998580000000002</v>
      </c>
      <c r="J14" s="438">
        <v>33.444018999999997</v>
      </c>
      <c r="K14" s="160">
        <v>10.091279999999999</v>
      </c>
      <c r="L14" s="438">
        <v>37.946783000000003</v>
      </c>
      <c r="M14" s="160">
        <v>36.714869999999998</v>
      </c>
      <c r="N14" s="438">
        <v>129.782388</v>
      </c>
      <c r="O14" s="160">
        <v>43.509119999999996</v>
      </c>
      <c r="P14" s="438">
        <v>201.173461</v>
      </c>
      <c r="Q14" s="160">
        <v>21.675780000000003</v>
      </c>
      <c r="R14" s="438">
        <v>125.623075</v>
      </c>
      <c r="S14" s="160">
        <v>45.296390000000002</v>
      </c>
      <c r="T14" s="438">
        <v>188.707054</v>
      </c>
      <c r="U14" s="160">
        <v>35.546020000000006</v>
      </c>
      <c r="V14" s="438">
        <v>114.232936</v>
      </c>
      <c r="W14" s="160">
        <v>20.472790000000003</v>
      </c>
      <c r="X14" s="438">
        <v>72.030848000000006</v>
      </c>
    </row>
    <row r="15" spans="1:28" ht="17.25" customHeight="1">
      <c r="A15" s="159">
        <v>9</v>
      </c>
      <c r="B15" s="437" t="s">
        <v>265</v>
      </c>
      <c r="C15" s="160">
        <v>2.6838099999999998</v>
      </c>
      <c r="D15" s="438">
        <v>11.413525999999999</v>
      </c>
      <c r="E15" s="160">
        <v>2.0355599999999998</v>
      </c>
      <c r="F15" s="438">
        <v>11.219250000000001</v>
      </c>
      <c r="G15" s="160">
        <v>2.4405200000000002</v>
      </c>
      <c r="H15" s="438">
        <v>10.129797999999999</v>
      </c>
      <c r="I15" s="160">
        <v>2.7340800000000001</v>
      </c>
      <c r="J15" s="438">
        <v>9.0509509999999995</v>
      </c>
      <c r="K15" s="160">
        <v>12.017899999999999</v>
      </c>
      <c r="L15" s="438">
        <v>43.724069999999998</v>
      </c>
      <c r="M15" s="160">
        <v>10.457310000000003</v>
      </c>
      <c r="N15" s="438">
        <v>43.040895999999996</v>
      </c>
      <c r="O15" s="160">
        <v>8.0879200000000004</v>
      </c>
      <c r="P15" s="438">
        <v>45.749290000000002</v>
      </c>
      <c r="Q15" s="160">
        <v>7.56616</v>
      </c>
      <c r="R15" s="438">
        <v>45.976728999999999</v>
      </c>
      <c r="S15" s="160">
        <v>14.485250000000001</v>
      </c>
      <c r="T15" s="438">
        <v>68.271825000000007</v>
      </c>
      <c r="U15" s="160">
        <v>16.304580000000001</v>
      </c>
      <c r="V15" s="438">
        <v>61.615855000000003</v>
      </c>
      <c r="W15" s="160">
        <v>17.202419999999996</v>
      </c>
      <c r="X15" s="438">
        <v>67.085328000000004</v>
      </c>
    </row>
    <row r="16" spans="1:28" ht="17.25" customHeight="1">
      <c r="A16" s="159">
        <v>10</v>
      </c>
      <c r="B16" s="437" t="s">
        <v>32</v>
      </c>
      <c r="C16" s="160">
        <v>40.741639999999997</v>
      </c>
      <c r="D16" s="438">
        <v>146.25355500000001</v>
      </c>
      <c r="E16" s="160">
        <v>48.280809999999995</v>
      </c>
      <c r="F16" s="438">
        <v>277.96529600000002</v>
      </c>
      <c r="G16" s="160">
        <v>43.646687</v>
      </c>
      <c r="H16" s="438">
        <v>159.066373</v>
      </c>
      <c r="I16" s="160">
        <v>26.682400000000001</v>
      </c>
      <c r="J16" s="438">
        <v>78.634626999999995</v>
      </c>
      <c r="K16" s="160">
        <v>41.598419999999997</v>
      </c>
      <c r="L16" s="438">
        <v>179.76570699999999</v>
      </c>
      <c r="M16" s="160">
        <v>22.136119999999998</v>
      </c>
      <c r="N16" s="438">
        <v>91.846010000000007</v>
      </c>
      <c r="O16" s="160">
        <v>15.562959999999999</v>
      </c>
      <c r="P16" s="438">
        <v>69.351060000000004</v>
      </c>
      <c r="Q16" s="160">
        <v>11.49846</v>
      </c>
      <c r="R16" s="438">
        <v>74.505118999999993</v>
      </c>
      <c r="S16" s="160">
        <v>13.119169999999999</v>
      </c>
      <c r="T16" s="438">
        <v>66.170430999999994</v>
      </c>
      <c r="U16" s="160">
        <v>15.03018</v>
      </c>
      <c r="V16" s="438">
        <v>62.754930999999999</v>
      </c>
      <c r="W16" s="160">
        <v>15.291529999999998</v>
      </c>
      <c r="X16" s="438">
        <v>61.358460000000001</v>
      </c>
    </row>
    <row r="17" spans="1:24" ht="17.25" customHeight="1">
      <c r="A17" s="159">
        <v>11</v>
      </c>
      <c r="B17" s="437" t="s">
        <v>214</v>
      </c>
      <c r="C17" s="160">
        <v>23.4955</v>
      </c>
      <c r="D17" s="438">
        <v>107.57940499999999</v>
      </c>
      <c r="E17" s="160">
        <v>17.237719999999999</v>
      </c>
      <c r="F17" s="438">
        <v>103.003782</v>
      </c>
      <c r="G17" s="160">
        <v>14.204570000000002</v>
      </c>
      <c r="H17" s="438">
        <v>69.010865999999993</v>
      </c>
      <c r="I17" s="160">
        <v>20.68656</v>
      </c>
      <c r="J17" s="438">
        <v>79.222567999999995</v>
      </c>
      <c r="K17" s="160">
        <v>17.257200000000001</v>
      </c>
      <c r="L17" s="438">
        <v>84.912831999999995</v>
      </c>
      <c r="M17" s="160">
        <v>17.63522</v>
      </c>
      <c r="N17" s="438">
        <v>87.310957000000002</v>
      </c>
      <c r="O17" s="160">
        <v>11.936959999999999</v>
      </c>
      <c r="P17" s="438">
        <v>81.193962999999997</v>
      </c>
      <c r="Q17" s="160">
        <v>13.8284</v>
      </c>
      <c r="R17" s="438">
        <v>99.631985</v>
      </c>
      <c r="S17" s="160">
        <v>11.161410000000002</v>
      </c>
      <c r="T17" s="438">
        <v>64.751591000000005</v>
      </c>
      <c r="U17" s="160">
        <v>18.615609999999997</v>
      </c>
      <c r="V17" s="438">
        <v>85.284447</v>
      </c>
      <c r="W17" s="160">
        <v>13.553460000000001</v>
      </c>
      <c r="X17" s="438">
        <v>60.865304000000002</v>
      </c>
    </row>
    <row r="18" spans="1:24" ht="17.25" customHeight="1">
      <c r="A18" s="159">
        <v>12</v>
      </c>
      <c r="B18" s="437" t="s">
        <v>19</v>
      </c>
      <c r="C18" s="160">
        <v>14.277940000000003</v>
      </c>
      <c r="D18" s="438">
        <v>63.116419</v>
      </c>
      <c r="E18" s="160">
        <v>16.80753</v>
      </c>
      <c r="F18" s="438">
        <v>95.161221999999995</v>
      </c>
      <c r="G18" s="160">
        <v>10.913440000000001</v>
      </c>
      <c r="H18" s="438">
        <v>50.354829000000002</v>
      </c>
      <c r="I18" s="160">
        <v>20.06494</v>
      </c>
      <c r="J18" s="438">
        <v>70.786759000000004</v>
      </c>
      <c r="K18" s="160">
        <v>20.316110000000002</v>
      </c>
      <c r="L18" s="438">
        <v>92.188433000000003</v>
      </c>
      <c r="M18" s="160">
        <v>24.796229999999994</v>
      </c>
      <c r="N18" s="438">
        <v>113.153603</v>
      </c>
      <c r="O18" s="160">
        <v>20.960530000000002</v>
      </c>
      <c r="P18" s="438">
        <v>116.41906400000001</v>
      </c>
      <c r="Q18" s="160">
        <v>29.877300000000002</v>
      </c>
      <c r="R18" s="438">
        <v>205.04163800000001</v>
      </c>
      <c r="S18" s="160">
        <v>21.497439999999997</v>
      </c>
      <c r="T18" s="438">
        <v>124.970122</v>
      </c>
      <c r="U18" s="160">
        <v>24.614949999999997</v>
      </c>
      <c r="V18" s="438">
        <v>114.40050100000001</v>
      </c>
      <c r="W18" s="160">
        <v>12.29918</v>
      </c>
      <c r="X18" s="438">
        <v>58.996414000000001</v>
      </c>
    </row>
    <row r="19" spans="1:24" ht="17.25" customHeight="1">
      <c r="A19" s="159">
        <v>13</v>
      </c>
      <c r="B19" s="437" t="s">
        <v>26</v>
      </c>
      <c r="C19" s="160">
        <v>66.755710000000008</v>
      </c>
      <c r="D19" s="438">
        <v>238.81089900000001</v>
      </c>
      <c r="E19" s="160">
        <v>56.691199999999995</v>
      </c>
      <c r="F19" s="438">
        <v>330.74219099999999</v>
      </c>
      <c r="G19" s="160">
        <v>32.417009999999998</v>
      </c>
      <c r="H19" s="438">
        <v>129.15866399999999</v>
      </c>
      <c r="I19" s="160">
        <v>32.46566</v>
      </c>
      <c r="J19" s="438">
        <v>97.251564999999999</v>
      </c>
      <c r="K19" s="160">
        <v>40.742399999999996</v>
      </c>
      <c r="L19" s="438">
        <v>155.42153200000001</v>
      </c>
      <c r="M19" s="160">
        <v>26.262160000000002</v>
      </c>
      <c r="N19" s="438">
        <v>104.996128</v>
      </c>
      <c r="O19" s="160">
        <v>21.293480000000002</v>
      </c>
      <c r="P19" s="438">
        <v>116.638661</v>
      </c>
      <c r="Q19" s="160">
        <v>45.85877</v>
      </c>
      <c r="R19" s="438">
        <v>266.20228200000003</v>
      </c>
      <c r="S19" s="160">
        <v>9.4287600000000005</v>
      </c>
      <c r="T19" s="438">
        <v>51.408560000000001</v>
      </c>
      <c r="U19" s="160">
        <v>9.7014200000000006</v>
      </c>
      <c r="V19" s="438">
        <v>46.923583000000001</v>
      </c>
      <c r="W19" s="160">
        <v>15.6309</v>
      </c>
      <c r="X19" s="438">
        <v>57.896127999999997</v>
      </c>
    </row>
    <row r="20" spans="1:24" ht="17.25" customHeight="1">
      <c r="A20" s="159">
        <v>14</v>
      </c>
      <c r="B20" s="437" t="s">
        <v>212</v>
      </c>
      <c r="C20" s="160">
        <v>6.0608600000000008</v>
      </c>
      <c r="D20" s="438">
        <v>21.794784</v>
      </c>
      <c r="E20" s="160">
        <v>9.1966000000000001</v>
      </c>
      <c r="F20" s="438">
        <v>51.855929000000003</v>
      </c>
      <c r="G20" s="160">
        <v>6.6927099999999999</v>
      </c>
      <c r="H20" s="438">
        <v>27.730435</v>
      </c>
      <c r="I20" s="160">
        <v>8.2971699999999995</v>
      </c>
      <c r="J20" s="438">
        <v>28.071241000000001</v>
      </c>
      <c r="K20" s="160">
        <v>9.8095800000000004</v>
      </c>
      <c r="L20" s="438">
        <v>39.465893999999999</v>
      </c>
      <c r="M20" s="160">
        <v>10.3337</v>
      </c>
      <c r="N20" s="438">
        <v>41.922330000000002</v>
      </c>
      <c r="O20" s="160">
        <v>10.315569999999999</v>
      </c>
      <c r="P20" s="438">
        <v>50.532344999999999</v>
      </c>
      <c r="Q20" s="160">
        <v>14.968539999999999</v>
      </c>
      <c r="R20" s="438">
        <v>75.136627000000004</v>
      </c>
      <c r="S20" s="160">
        <v>12.796179999999998</v>
      </c>
      <c r="T20" s="438">
        <v>57.196378000000003</v>
      </c>
      <c r="U20" s="160">
        <v>18.096820000000001</v>
      </c>
      <c r="V20" s="438">
        <v>69.873130000000003</v>
      </c>
      <c r="W20" s="160">
        <v>14.323979999999999</v>
      </c>
      <c r="X20" s="438">
        <v>56.792264000000003</v>
      </c>
    </row>
    <row r="21" spans="1:24" ht="17.25" customHeight="1">
      <c r="A21" s="159">
        <v>15</v>
      </c>
      <c r="B21" s="437" t="s">
        <v>21</v>
      </c>
      <c r="C21" s="160">
        <v>11.456119999999999</v>
      </c>
      <c r="D21" s="438">
        <v>45.151848999999999</v>
      </c>
      <c r="E21" s="160">
        <v>7.8301700000000007</v>
      </c>
      <c r="F21" s="438">
        <v>43.919860999999997</v>
      </c>
      <c r="G21" s="160">
        <v>5.72837</v>
      </c>
      <c r="H21" s="438">
        <v>23.626000000000001</v>
      </c>
      <c r="I21" s="160">
        <v>6.0674700000000001</v>
      </c>
      <c r="J21" s="438">
        <v>22.786463000000001</v>
      </c>
      <c r="K21" s="160">
        <v>6.6440999999999999</v>
      </c>
      <c r="L21" s="438">
        <v>30.859138000000002</v>
      </c>
      <c r="M21" s="160">
        <v>7.9453800000000001</v>
      </c>
      <c r="N21" s="438">
        <v>38.833508999999999</v>
      </c>
      <c r="O21" s="160">
        <v>7.1054799999999991</v>
      </c>
      <c r="P21" s="438">
        <v>45.132595000000002</v>
      </c>
      <c r="Q21" s="160">
        <v>10.154260000000003</v>
      </c>
      <c r="R21" s="438">
        <v>65.693602999999996</v>
      </c>
      <c r="S21" s="160">
        <v>9.93628</v>
      </c>
      <c r="T21" s="438">
        <v>54.748896999999999</v>
      </c>
      <c r="U21" s="160">
        <v>12.391429999999998</v>
      </c>
      <c r="V21" s="438">
        <v>53.410218999999998</v>
      </c>
      <c r="W21" s="160">
        <v>12.67601</v>
      </c>
      <c r="X21" s="438">
        <v>55.321103999999998</v>
      </c>
    </row>
    <row r="22" spans="1:24" ht="17.25" customHeight="1">
      <c r="A22" s="159">
        <v>16</v>
      </c>
      <c r="B22" s="437" t="s">
        <v>40</v>
      </c>
      <c r="C22" s="160">
        <v>10.780399999999998</v>
      </c>
      <c r="D22" s="438">
        <v>42.67221</v>
      </c>
      <c r="E22" s="160">
        <v>10.410299999999999</v>
      </c>
      <c r="F22" s="438">
        <v>60.788404999999997</v>
      </c>
      <c r="G22" s="160">
        <v>9.4728999999999992</v>
      </c>
      <c r="H22" s="438">
        <v>39.621492000000003</v>
      </c>
      <c r="I22" s="160">
        <v>8.8155699999999992</v>
      </c>
      <c r="J22" s="438">
        <v>31.775089000000001</v>
      </c>
      <c r="K22" s="160">
        <v>10.305789999999998</v>
      </c>
      <c r="L22" s="438">
        <v>48.901561000000001</v>
      </c>
      <c r="M22" s="160">
        <v>9.0077900000000017</v>
      </c>
      <c r="N22" s="438">
        <v>42.147526999999997</v>
      </c>
      <c r="O22" s="160">
        <v>7.6756699999999993</v>
      </c>
      <c r="P22" s="438">
        <v>43.429951000000003</v>
      </c>
      <c r="Q22" s="160">
        <v>9.7354300000000009</v>
      </c>
      <c r="R22" s="438">
        <v>69.502909000000002</v>
      </c>
      <c r="S22" s="160">
        <v>8.8828399999999998</v>
      </c>
      <c r="T22" s="438">
        <v>53.219222000000002</v>
      </c>
      <c r="U22" s="160">
        <v>9.9421000000000017</v>
      </c>
      <c r="V22" s="438">
        <v>48.625689999999999</v>
      </c>
      <c r="W22" s="160">
        <v>10.545109999999999</v>
      </c>
      <c r="X22" s="438">
        <v>53.761293999999999</v>
      </c>
    </row>
    <row r="23" spans="1:24" ht="17.25" customHeight="1">
      <c r="A23" s="159">
        <v>17</v>
      </c>
      <c r="B23" s="437" t="s">
        <v>51</v>
      </c>
      <c r="C23" s="160">
        <v>3.3510800000000001</v>
      </c>
      <c r="D23" s="438">
        <v>14.689094000000001</v>
      </c>
      <c r="E23" s="160">
        <v>3.3174100000000002</v>
      </c>
      <c r="F23" s="438">
        <v>18.009326000000001</v>
      </c>
      <c r="G23" s="160">
        <v>4.30152</v>
      </c>
      <c r="H23" s="438">
        <v>18.126821</v>
      </c>
      <c r="I23" s="160">
        <v>1.7376</v>
      </c>
      <c r="J23" s="438">
        <v>6.201854</v>
      </c>
      <c r="K23" s="160">
        <v>3.5500600000000002</v>
      </c>
      <c r="L23" s="438">
        <v>14.214098</v>
      </c>
      <c r="M23" s="160">
        <v>3.6616200000000005</v>
      </c>
      <c r="N23" s="438">
        <v>16.398409000000001</v>
      </c>
      <c r="O23" s="160">
        <v>2.9948699999999997</v>
      </c>
      <c r="P23" s="438">
        <v>17.558895</v>
      </c>
      <c r="Q23" s="160">
        <v>6.2017800000000012</v>
      </c>
      <c r="R23" s="438">
        <v>39.334333000000001</v>
      </c>
      <c r="S23" s="160">
        <v>5.8882500000000002</v>
      </c>
      <c r="T23" s="438">
        <v>32.30274</v>
      </c>
      <c r="U23" s="160">
        <v>13.287369999999997</v>
      </c>
      <c r="V23" s="438">
        <v>54.800409000000002</v>
      </c>
      <c r="W23" s="160">
        <v>11.238989999999998</v>
      </c>
      <c r="X23" s="438">
        <v>49.252023000000001</v>
      </c>
    </row>
    <row r="24" spans="1:24" ht="17.25" customHeight="1">
      <c r="A24" s="159">
        <v>18</v>
      </c>
      <c r="B24" s="437" t="s">
        <v>39</v>
      </c>
      <c r="C24" s="160">
        <v>6.9530900000000004</v>
      </c>
      <c r="D24" s="438">
        <v>31.043037000000002</v>
      </c>
      <c r="E24" s="160">
        <v>9.0083699999999993</v>
      </c>
      <c r="F24" s="438">
        <v>52.670689000000003</v>
      </c>
      <c r="G24" s="160">
        <v>9.8647899999999993</v>
      </c>
      <c r="H24" s="438">
        <v>45.051535999999999</v>
      </c>
      <c r="I24" s="160">
        <v>9.6406199999999984</v>
      </c>
      <c r="J24" s="438">
        <v>32.789715000000001</v>
      </c>
      <c r="K24" s="160">
        <v>10.240710000000002</v>
      </c>
      <c r="L24" s="438">
        <v>46.267774000000003</v>
      </c>
      <c r="M24" s="160">
        <v>10.139460000000001</v>
      </c>
      <c r="N24" s="438">
        <v>45.253751999999999</v>
      </c>
      <c r="O24" s="160">
        <v>4.5610999999999997</v>
      </c>
      <c r="P24" s="438">
        <v>25.885992000000002</v>
      </c>
      <c r="Q24" s="160">
        <v>5.6823200000000007</v>
      </c>
      <c r="R24" s="438">
        <v>37.681942999999997</v>
      </c>
      <c r="S24" s="160">
        <v>4.9838800000000001</v>
      </c>
      <c r="T24" s="438">
        <v>30.003647999999998</v>
      </c>
      <c r="U24" s="160">
        <v>6.45397</v>
      </c>
      <c r="V24" s="438">
        <v>27.317169</v>
      </c>
      <c r="W24" s="160">
        <v>9.7265700000000024</v>
      </c>
      <c r="X24" s="438">
        <v>42.290613</v>
      </c>
    </row>
    <row r="25" spans="1:24" ht="17.25" customHeight="1">
      <c r="A25" s="159">
        <v>19</v>
      </c>
      <c r="B25" s="437" t="s">
        <v>22</v>
      </c>
      <c r="C25" s="160">
        <v>12.07432</v>
      </c>
      <c r="D25" s="438">
        <v>45.010688999999999</v>
      </c>
      <c r="E25" s="160">
        <v>8.1935399999999987</v>
      </c>
      <c r="F25" s="438">
        <v>44.674774999999997</v>
      </c>
      <c r="G25" s="160">
        <v>8.4914100000000001</v>
      </c>
      <c r="H25" s="438">
        <v>34.403323999999998</v>
      </c>
      <c r="I25" s="160">
        <v>6.56684</v>
      </c>
      <c r="J25" s="438">
        <v>21.978757000000002</v>
      </c>
      <c r="K25" s="160">
        <v>9.3018300000000007</v>
      </c>
      <c r="L25" s="438">
        <v>37.151850000000003</v>
      </c>
      <c r="M25" s="160">
        <v>9.7070999999999987</v>
      </c>
      <c r="N25" s="438">
        <v>39.259571999999999</v>
      </c>
      <c r="O25" s="160">
        <v>6.7741099999999994</v>
      </c>
      <c r="P25" s="438">
        <v>35.759542000000003</v>
      </c>
      <c r="Q25" s="160">
        <v>5.7287400000000011</v>
      </c>
      <c r="R25" s="438">
        <v>35.255186000000002</v>
      </c>
      <c r="S25" s="160">
        <v>7.5864599999999998</v>
      </c>
      <c r="T25" s="438">
        <v>39.134776000000002</v>
      </c>
      <c r="U25" s="160">
        <v>7.9350299999999994</v>
      </c>
      <c r="V25" s="438">
        <v>31.675294000000001</v>
      </c>
      <c r="W25" s="160">
        <v>9.1964299999999994</v>
      </c>
      <c r="X25" s="438">
        <v>39.800438999999997</v>
      </c>
    </row>
    <row r="26" spans="1:24" ht="17.25" customHeight="1">
      <c r="A26" s="319">
        <v>20</v>
      </c>
      <c r="B26" s="447" t="s">
        <v>56</v>
      </c>
      <c r="C26" s="160">
        <v>6.5755599999999994</v>
      </c>
      <c r="D26" s="438">
        <v>25.679728999999998</v>
      </c>
      <c r="E26" s="160">
        <v>8.1356799999999989</v>
      </c>
      <c r="F26" s="438">
        <v>44.682999000000002</v>
      </c>
      <c r="G26" s="160">
        <v>6.5000199999999992</v>
      </c>
      <c r="H26" s="438">
        <v>27.993963999999998</v>
      </c>
      <c r="I26" s="160">
        <v>8.612429999999998</v>
      </c>
      <c r="J26" s="438">
        <v>27.156569000000001</v>
      </c>
      <c r="K26" s="160">
        <v>8.3500700000000005</v>
      </c>
      <c r="L26" s="438">
        <v>35.290424999999999</v>
      </c>
      <c r="M26" s="160">
        <v>7.2129300000000001</v>
      </c>
      <c r="N26" s="438">
        <v>31.444766999999999</v>
      </c>
      <c r="O26" s="160">
        <v>8.9869199999999978</v>
      </c>
      <c r="P26" s="438">
        <v>50.357905000000002</v>
      </c>
      <c r="Q26" s="160">
        <v>9.3239099999999997</v>
      </c>
      <c r="R26" s="438">
        <v>63.745500999999997</v>
      </c>
      <c r="S26" s="160">
        <v>7.3129500000000007</v>
      </c>
      <c r="T26" s="438">
        <v>40.013179999999998</v>
      </c>
      <c r="U26" s="160">
        <v>5.7156499999999992</v>
      </c>
      <c r="V26" s="438">
        <v>25.021408999999998</v>
      </c>
      <c r="W26" s="160">
        <v>8.5384100000000007</v>
      </c>
      <c r="X26" s="438">
        <v>37.174118</v>
      </c>
    </row>
    <row r="27" spans="1:24" ht="17.25" customHeight="1">
      <c r="A27" s="604" t="s">
        <v>15</v>
      </c>
      <c r="B27" s="605"/>
      <c r="C27" s="160">
        <v>123.66363000000013</v>
      </c>
      <c r="D27" s="160">
        <v>494.38870199999974</v>
      </c>
      <c r="E27" s="160">
        <v>123.97908000000018</v>
      </c>
      <c r="F27" s="160">
        <v>653.10287399999925</v>
      </c>
      <c r="G27" s="160">
        <v>142.70186000000012</v>
      </c>
      <c r="H27" s="160">
        <v>581.89925300000004</v>
      </c>
      <c r="I27" s="160">
        <v>135.08815000000004</v>
      </c>
      <c r="J27" s="160">
        <v>435.13961299999937</v>
      </c>
      <c r="K27" s="160">
        <v>119.23904000000016</v>
      </c>
      <c r="L27" s="160">
        <v>485.57195199999933</v>
      </c>
      <c r="M27" s="160">
        <v>107.19703999999979</v>
      </c>
      <c r="N27" s="160">
        <v>447.43107200000031</v>
      </c>
      <c r="O27" s="160">
        <v>79.561100000000124</v>
      </c>
      <c r="P27" s="160">
        <v>442.72042500000225</v>
      </c>
      <c r="Q27" s="160">
        <v>93.575760000000287</v>
      </c>
      <c r="R27" s="160">
        <v>570.89950200000021</v>
      </c>
      <c r="S27" s="160">
        <v>87.890630000000215</v>
      </c>
      <c r="T27" s="160">
        <v>460.31913799999984</v>
      </c>
      <c r="U27" s="160">
        <v>95.723510000000488</v>
      </c>
      <c r="V27" s="160">
        <v>392.21090400000094</v>
      </c>
      <c r="W27" s="160">
        <v>106.37852999999927</v>
      </c>
      <c r="X27" s="160">
        <v>456.010448</v>
      </c>
    </row>
    <row r="28" spans="1:24" s="85" customFormat="1" ht="17.25" customHeight="1">
      <c r="A28" s="601" t="s">
        <v>0</v>
      </c>
      <c r="B28" s="601"/>
      <c r="C28" s="161">
        <v>1021.43178</v>
      </c>
      <c r="D28" s="162">
        <v>3842.1604459999999</v>
      </c>
      <c r="E28" s="161">
        <v>1077.24056</v>
      </c>
      <c r="F28" s="162">
        <v>5573.0105510000003</v>
      </c>
      <c r="G28" s="161">
        <v>1006.1705870000002</v>
      </c>
      <c r="H28" s="162">
        <v>3824.97579</v>
      </c>
      <c r="I28" s="161">
        <v>1124.34239</v>
      </c>
      <c r="J28" s="162">
        <v>3277.6177969999999</v>
      </c>
      <c r="K28" s="161">
        <v>1083.9222800000002</v>
      </c>
      <c r="L28" s="162">
        <v>4112.9391189999997</v>
      </c>
      <c r="M28" s="161">
        <v>1054.4205599999998</v>
      </c>
      <c r="N28" s="162">
        <v>4037.4778620000002</v>
      </c>
      <c r="O28" s="161">
        <v>966.25819999999999</v>
      </c>
      <c r="P28" s="162">
        <v>5095.8074020000004</v>
      </c>
      <c r="Q28" s="161">
        <v>980.61400000000015</v>
      </c>
      <c r="R28" s="162">
        <v>5774.2849550000001</v>
      </c>
      <c r="S28" s="161">
        <v>906.30729000000019</v>
      </c>
      <c r="T28" s="162">
        <v>4092.9720729999999</v>
      </c>
      <c r="U28" s="161">
        <v>1006.5030700000003</v>
      </c>
      <c r="V28" s="162">
        <v>3305.8069310000001</v>
      </c>
      <c r="W28" s="161">
        <v>1139.9981999999995</v>
      </c>
      <c r="X28" s="162">
        <v>4150.8064530000001</v>
      </c>
    </row>
    <row r="29" spans="1:24" ht="17.25" customHeight="1">
      <c r="A29" s="164" t="s">
        <v>260</v>
      </c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</row>
    <row r="30" spans="1:24" ht="17.25" customHeight="1">
      <c r="A30" s="373" t="s">
        <v>267</v>
      </c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</row>
    <row r="31" spans="1:24" ht="17.25" customHeight="1">
      <c r="A31" s="146" t="s">
        <v>268</v>
      </c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</row>
    <row r="32" spans="1:24" ht="17.25" customHeight="1">
      <c r="A32" s="374" t="s">
        <v>269</v>
      </c>
    </row>
    <row r="33" spans="1:1" ht="17.25" customHeight="1">
      <c r="A33" s="29" t="s">
        <v>308</v>
      </c>
    </row>
  </sheetData>
  <mergeCells count="17">
    <mergeCell ref="U5:V5"/>
    <mergeCell ref="A27:B27"/>
    <mergeCell ref="W5:X5"/>
    <mergeCell ref="A3:X3"/>
    <mergeCell ref="A2:X2"/>
    <mergeCell ref="G5:H5"/>
    <mergeCell ref="I5:J5"/>
    <mergeCell ref="K5:L5"/>
    <mergeCell ref="M5:N5"/>
    <mergeCell ref="O5:P5"/>
    <mergeCell ref="Q5:R5"/>
    <mergeCell ref="S5:T5"/>
    <mergeCell ref="A28:B28"/>
    <mergeCell ref="A5:A6"/>
    <mergeCell ref="B5:B6"/>
    <mergeCell ref="C5:D5"/>
    <mergeCell ref="E5:F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12"/>
  <sheetViews>
    <sheetView view="pageBreakPreview" zoomScaleNormal="100" zoomScaleSheetLayoutView="100" workbookViewId="0">
      <selection activeCell="H38" sqref="H38"/>
    </sheetView>
  </sheetViews>
  <sheetFormatPr defaultColWidth="9.6640625" defaultRowHeight="17.25" customHeight="1"/>
  <cols>
    <col min="1" max="1" width="12.6640625" style="112" customWidth="1"/>
    <col min="2" max="2" width="19.5" style="112" customWidth="1"/>
    <col min="3" max="3" width="18.6640625" style="112" customWidth="1"/>
    <col min="4" max="4" width="20" style="112" customWidth="1"/>
    <col min="5" max="7" width="18.6640625" style="112" customWidth="1"/>
    <col min="8" max="10" width="11.5" style="56" customWidth="1"/>
    <col min="11" max="16384" width="9.6640625" style="56"/>
  </cols>
  <sheetData>
    <row r="1" spans="1:72" s="10" customFormat="1" ht="17.25" customHeight="1">
      <c r="A1" s="16"/>
      <c r="B1" s="16"/>
      <c r="C1" s="16"/>
      <c r="D1" s="16"/>
      <c r="E1" s="16"/>
      <c r="F1" s="16"/>
      <c r="G1" s="16"/>
    </row>
    <row r="2" spans="1:72" s="10" customFormat="1" ht="17.25" customHeight="1">
      <c r="A2" s="565" t="s">
        <v>220</v>
      </c>
      <c r="B2" s="565"/>
      <c r="C2" s="565"/>
      <c r="D2" s="565"/>
      <c r="E2" s="565"/>
      <c r="F2" s="565"/>
      <c r="G2" s="56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</row>
    <row r="3" spans="1:72" s="10" customFormat="1" ht="17.25" customHeight="1">
      <c r="A3" s="565" t="s">
        <v>281</v>
      </c>
      <c r="B3" s="565"/>
      <c r="C3" s="565"/>
      <c r="D3" s="565"/>
      <c r="E3" s="565"/>
      <c r="F3" s="565"/>
      <c r="G3" s="565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</row>
    <row r="4" spans="1:72" s="10" customFormat="1" ht="17.25" customHeight="1">
      <c r="A4" s="565" t="s">
        <v>61</v>
      </c>
      <c r="B4" s="565"/>
      <c r="C4" s="565"/>
      <c r="D4" s="565"/>
      <c r="E4" s="565"/>
      <c r="F4" s="565"/>
      <c r="G4" s="565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</row>
    <row r="5" spans="1:72" s="10" customFormat="1" ht="17.25" customHeight="1">
      <c r="A5" s="127"/>
      <c r="B5" s="127"/>
      <c r="C5" s="127"/>
      <c r="D5" s="16"/>
      <c r="E5" s="127"/>
      <c r="F5" s="127"/>
      <c r="G5" s="127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</row>
    <row r="6" spans="1:72" s="10" customFormat="1" ht="17.25" customHeight="1">
      <c r="A6" s="610" t="s">
        <v>60</v>
      </c>
      <c r="B6" s="486" t="s">
        <v>62</v>
      </c>
      <c r="C6" s="486" t="s">
        <v>234</v>
      </c>
      <c r="D6" s="165" t="s">
        <v>4</v>
      </c>
      <c r="E6" s="486" t="s">
        <v>27</v>
      </c>
      <c r="F6" s="486" t="s">
        <v>63</v>
      </c>
      <c r="G6" s="486" t="s">
        <v>64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</row>
    <row r="7" spans="1:72" s="10" customFormat="1" ht="17.25" customHeight="1">
      <c r="A7" s="611"/>
      <c r="B7" s="487" t="s">
        <v>65</v>
      </c>
      <c r="C7" s="487" t="s">
        <v>66</v>
      </c>
      <c r="D7" s="34"/>
      <c r="E7" s="487"/>
      <c r="F7" s="487"/>
      <c r="G7" s="487" t="s">
        <v>67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</row>
    <row r="8" spans="1:72" s="10" customFormat="1" ht="17.25" hidden="1" customHeight="1">
      <c r="A8" s="166">
        <v>1990</v>
      </c>
      <c r="B8" s="166">
        <v>284</v>
      </c>
      <c r="C8" s="166">
        <v>447</v>
      </c>
      <c r="D8" s="167">
        <v>334</v>
      </c>
      <c r="E8" s="166">
        <v>422</v>
      </c>
      <c r="F8" s="167">
        <v>337</v>
      </c>
      <c r="G8" s="166">
        <f>B8-C8</f>
        <v>-163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</row>
    <row r="9" spans="1:72" s="10" customFormat="1" ht="17.25" hidden="1" customHeight="1">
      <c r="A9" s="166">
        <v>1991</v>
      </c>
      <c r="B9" s="166">
        <v>393</v>
      </c>
      <c r="C9" s="166">
        <v>454</v>
      </c>
      <c r="D9" s="167">
        <v>417</v>
      </c>
      <c r="E9" s="166">
        <v>414</v>
      </c>
      <c r="F9" s="167">
        <v>433</v>
      </c>
      <c r="G9" s="166">
        <f t="shared" ref="G9:G27" si="0">B9-C9</f>
        <v>-61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</row>
    <row r="10" spans="1:72" s="10" customFormat="1" ht="17.25" hidden="1" customHeight="1">
      <c r="A10" s="166">
        <v>1992</v>
      </c>
      <c r="B10" s="166">
        <v>394</v>
      </c>
      <c r="C10" s="166">
        <v>444</v>
      </c>
      <c r="D10" s="167">
        <v>572</v>
      </c>
      <c r="E10" s="166">
        <v>420</v>
      </c>
      <c r="F10" s="167">
        <v>578</v>
      </c>
      <c r="G10" s="166">
        <f t="shared" si="0"/>
        <v>-50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</row>
    <row r="11" spans="1:72" s="10" customFormat="1" ht="17.25" hidden="1" customHeight="1">
      <c r="A11" s="166">
        <v>1993</v>
      </c>
      <c r="B11" s="166">
        <v>378</v>
      </c>
      <c r="C11" s="166">
        <v>480</v>
      </c>
      <c r="D11" s="167">
        <v>437</v>
      </c>
      <c r="E11" s="166">
        <v>466</v>
      </c>
      <c r="F11" s="167">
        <v>450</v>
      </c>
      <c r="G11" s="166">
        <f t="shared" si="0"/>
        <v>-102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</row>
    <row r="12" spans="1:72" s="10" customFormat="1" ht="17.25" hidden="1" customHeight="1">
      <c r="A12" s="166">
        <v>1994</v>
      </c>
      <c r="B12" s="166">
        <v>528</v>
      </c>
      <c r="C12" s="166">
        <v>615</v>
      </c>
      <c r="D12" s="167">
        <v>629</v>
      </c>
      <c r="E12" s="166">
        <v>616</v>
      </c>
      <c r="F12" s="167">
        <v>607</v>
      </c>
      <c r="G12" s="166">
        <f t="shared" si="0"/>
        <v>-87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</row>
    <row r="13" spans="1:72" s="10" customFormat="1" ht="17.25" hidden="1" customHeight="1">
      <c r="A13" s="166">
        <v>1995</v>
      </c>
      <c r="B13" s="166">
        <v>628</v>
      </c>
      <c r="C13" s="166">
        <v>625</v>
      </c>
      <c r="D13" s="167">
        <v>677</v>
      </c>
      <c r="E13" s="166">
        <v>614</v>
      </c>
      <c r="F13" s="167">
        <v>670</v>
      </c>
      <c r="G13" s="166">
        <f t="shared" si="0"/>
        <v>3</v>
      </c>
      <c r="H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</row>
    <row r="14" spans="1:72" s="10" customFormat="1" ht="17.25" hidden="1" customHeight="1">
      <c r="A14" s="166">
        <v>1996</v>
      </c>
      <c r="B14" s="166">
        <v>531</v>
      </c>
      <c r="C14" s="166">
        <v>552</v>
      </c>
      <c r="D14" s="167">
        <v>728</v>
      </c>
      <c r="E14" s="166">
        <v>555</v>
      </c>
      <c r="F14" s="167">
        <v>752</v>
      </c>
      <c r="G14" s="166">
        <f t="shared" si="0"/>
        <v>-21</v>
      </c>
      <c r="H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</row>
    <row r="15" spans="1:72" s="10" customFormat="1" ht="17.25" hidden="1" customHeight="1">
      <c r="A15" s="166">
        <v>1997</v>
      </c>
      <c r="B15" s="166">
        <v>546</v>
      </c>
      <c r="C15" s="166">
        <v>565</v>
      </c>
      <c r="D15" s="167">
        <v>652</v>
      </c>
      <c r="E15" s="166">
        <v>565</v>
      </c>
      <c r="F15" s="167">
        <v>657</v>
      </c>
      <c r="G15" s="166">
        <f t="shared" si="0"/>
        <v>-19</v>
      </c>
      <c r="H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</row>
    <row r="16" spans="1:72" s="10" customFormat="1" ht="17.25" hidden="1" customHeight="1">
      <c r="A16" s="166">
        <v>1998</v>
      </c>
      <c r="B16" s="166">
        <v>671</v>
      </c>
      <c r="C16" s="166">
        <v>626</v>
      </c>
      <c r="D16" s="167">
        <v>687</v>
      </c>
      <c r="E16" s="166">
        <v>628</v>
      </c>
      <c r="F16" s="167">
        <v>658</v>
      </c>
      <c r="G16" s="166">
        <f t="shared" si="0"/>
        <v>45</v>
      </c>
      <c r="H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</row>
    <row r="17" spans="1:72" s="10" customFormat="1" ht="17.25" hidden="1" customHeight="1">
      <c r="A17" s="166">
        <v>1999</v>
      </c>
      <c r="B17" s="166">
        <v>436</v>
      </c>
      <c r="C17" s="166">
        <v>427</v>
      </c>
      <c r="D17" s="167">
        <v>694</v>
      </c>
      <c r="E17" s="166">
        <v>423</v>
      </c>
      <c r="F17" s="167">
        <v>737</v>
      </c>
      <c r="G17" s="166">
        <f t="shared" si="0"/>
        <v>9</v>
      </c>
      <c r="H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</row>
    <row r="18" spans="1:72" s="10" customFormat="1" ht="17.25" hidden="1" customHeight="1">
      <c r="A18" s="166">
        <v>2000</v>
      </c>
      <c r="B18" s="166">
        <v>310</v>
      </c>
      <c r="C18" s="166">
        <v>338</v>
      </c>
      <c r="D18" s="167">
        <v>444</v>
      </c>
      <c r="E18" s="166">
        <v>347</v>
      </c>
      <c r="F18" s="167">
        <v>450</v>
      </c>
      <c r="G18" s="166">
        <f t="shared" si="0"/>
        <v>-28</v>
      </c>
      <c r="H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</row>
    <row r="19" spans="1:72" s="10" customFormat="1" ht="17.25" hidden="1" customHeight="1">
      <c r="A19" s="166">
        <v>2001</v>
      </c>
      <c r="B19" s="166">
        <v>286</v>
      </c>
      <c r="C19" s="166">
        <v>354</v>
      </c>
      <c r="D19" s="167">
        <v>308</v>
      </c>
      <c r="E19" s="166">
        <v>402</v>
      </c>
      <c r="F19" s="167">
        <v>318</v>
      </c>
      <c r="G19" s="166">
        <f t="shared" si="0"/>
        <v>-68</v>
      </c>
      <c r="H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</row>
    <row r="20" spans="1:72" s="10" customFormat="1" ht="17.25" hidden="1" customHeight="1">
      <c r="A20" s="166">
        <v>2002</v>
      </c>
      <c r="B20" s="166">
        <v>390</v>
      </c>
      <c r="C20" s="166">
        <v>454</v>
      </c>
      <c r="D20" s="167">
        <v>416</v>
      </c>
      <c r="E20" s="166">
        <v>485</v>
      </c>
      <c r="F20" s="167">
        <v>421</v>
      </c>
      <c r="G20" s="166">
        <f t="shared" si="0"/>
        <v>-64</v>
      </c>
      <c r="H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</row>
    <row r="21" spans="1:72" s="10" customFormat="1" ht="17.25" hidden="1" customHeight="1">
      <c r="A21" s="166">
        <v>2003</v>
      </c>
      <c r="B21" s="166">
        <v>443</v>
      </c>
      <c r="C21" s="166">
        <v>454</v>
      </c>
      <c r="D21" s="167">
        <v>459</v>
      </c>
      <c r="E21" s="166">
        <v>600</v>
      </c>
      <c r="F21" s="167">
        <v>467</v>
      </c>
      <c r="G21" s="166">
        <f t="shared" si="0"/>
        <v>-11</v>
      </c>
      <c r="H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</row>
    <row r="22" spans="1:72" s="10" customFormat="1" ht="17.25" hidden="1" customHeight="1">
      <c r="A22" s="166">
        <v>2004</v>
      </c>
      <c r="B22" s="166">
        <v>471</v>
      </c>
      <c r="C22" s="166">
        <v>661</v>
      </c>
      <c r="D22" s="167">
        <v>648</v>
      </c>
      <c r="E22" s="166">
        <v>684</v>
      </c>
      <c r="F22" s="167">
        <v>661</v>
      </c>
      <c r="G22" s="166">
        <f t="shared" si="0"/>
        <v>-190</v>
      </c>
      <c r="H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</row>
    <row r="23" spans="1:72" s="10" customFormat="1" ht="17.25" hidden="1" customHeight="1">
      <c r="A23" s="166">
        <v>2005</v>
      </c>
      <c r="B23" s="166">
        <v>422</v>
      </c>
      <c r="C23" s="166">
        <v>545</v>
      </c>
      <c r="D23" s="167">
        <v>627</v>
      </c>
      <c r="E23" s="166">
        <v>669</v>
      </c>
      <c r="F23" s="167">
        <v>553</v>
      </c>
      <c r="G23" s="166">
        <f t="shared" si="0"/>
        <v>-123</v>
      </c>
      <c r="H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</row>
    <row r="24" spans="1:72" s="10" customFormat="1" ht="17.25" hidden="1" customHeight="1">
      <c r="A24" s="166">
        <v>2006</v>
      </c>
      <c r="B24" s="166">
        <v>478</v>
      </c>
      <c r="C24" s="166">
        <v>599</v>
      </c>
      <c r="D24" s="159">
        <v>581</v>
      </c>
      <c r="E24" s="166">
        <v>794</v>
      </c>
      <c r="F24" s="166">
        <v>607</v>
      </c>
      <c r="G24" s="166">
        <f t="shared" si="0"/>
        <v>-121</v>
      </c>
      <c r="H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</row>
    <row r="25" spans="1:72" s="10" customFormat="1" ht="17.25" hidden="1" customHeight="1">
      <c r="A25" s="166">
        <v>2007</v>
      </c>
      <c r="B25" s="166">
        <v>780</v>
      </c>
      <c r="C25" s="166">
        <v>881</v>
      </c>
      <c r="D25" s="167">
        <v>889</v>
      </c>
      <c r="E25" s="166">
        <v>969</v>
      </c>
      <c r="F25" s="167">
        <v>919</v>
      </c>
      <c r="G25" s="166">
        <f t="shared" si="0"/>
        <v>-101</v>
      </c>
      <c r="H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</row>
    <row r="26" spans="1:72" s="10" customFormat="1" ht="17.25" hidden="1" customHeight="1">
      <c r="A26" s="159">
        <v>2008</v>
      </c>
      <c r="B26" s="166">
        <v>949</v>
      </c>
      <c r="C26" s="168">
        <v>1258</v>
      </c>
      <c r="D26" s="169">
        <v>1130</v>
      </c>
      <c r="E26" s="168">
        <v>1329</v>
      </c>
      <c r="F26" s="169">
        <v>1224</v>
      </c>
      <c r="G26" s="166">
        <f t="shared" si="0"/>
        <v>-309</v>
      </c>
      <c r="H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</row>
    <row r="27" spans="1:72" s="10" customFormat="1" ht="17.25" hidden="1" customHeight="1">
      <c r="A27" s="159">
        <v>2009</v>
      </c>
      <c r="B27" s="166">
        <v>666</v>
      </c>
      <c r="C27" s="168">
        <v>825</v>
      </c>
      <c r="D27" s="169">
        <v>680</v>
      </c>
      <c r="E27" s="168">
        <v>836</v>
      </c>
      <c r="F27" s="169">
        <v>722</v>
      </c>
      <c r="G27" s="166">
        <f t="shared" si="0"/>
        <v>-159</v>
      </c>
      <c r="H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</row>
    <row r="28" spans="1:72" s="10" customFormat="1" ht="17.25" customHeight="1">
      <c r="A28" s="159">
        <v>2010</v>
      </c>
      <c r="B28" s="170">
        <v>901</v>
      </c>
      <c r="C28" s="171">
        <v>1005</v>
      </c>
      <c r="D28" s="172">
        <v>1184</v>
      </c>
      <c r="E28" s="171">
        <v>1013</v>
      </c>
      <c r="F28" s="172">
        <v>1124</v>
      </c>
      <c r="G28" s="166">
        <v>-104</v>
      </c>
      <c r="H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</row>
    <row r="29" spans="1:72" s="10" customFormat="1" ht="17.25" customHeight="1">
      <c r="A29" s="159">
        <v>2011</v>
      </c>
      <c r="B29" s="173">
        <v>1125</v>
      </c>
      <c r="C29" s="173">
        <v>1299</v>
      </c>
      <c r="D29" s="174">
        <v>1648</v>
      </c>
      <c r="E29" s="173">
        <v>1368</v>
      </c>
      <c r="F29" s="174">
        <v>1730</v>
      </c>
      <c r="G29" s="166">
        <v>-174</v>
      </c>
      <c r="H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</row>
    <row r="30" spans="1:72" s="10" customFormat="1" ht="17.25" customHeight="1">
      <c r="A30" s="166">
        <v>2012</v>
      </c>
      <c r="B30" s="173">
        <v>999</v>
      </c>
      <c r="C30" s="173">
        <v>1226</v>
      </c>
      <c r="D30" s="173">
        <v>1110</v>
      </c>
      <c r="E30" s="173">
        <v>1240</v>
      </c>
      <c r="F30" s="173">
        <v>1111</v>
      </c>
      <c r="G30" s="166">
        <v>-227</v>
      </c>
      <c r="H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</row>
    <row r="31" spans="1:72" s="10" customFormat="1" ht="17.25" customHeight="1">
      <c r="A31" s="166">
        <v>2013</v>
      </c>
      <c r="B31" s="173">
        <v>857</v>
      </c>
      <c r="C31" s="173">
        <v>1057</v>
      </c>
      <c r="D31" s="173">
        <v>897</v>
      </c>
      <c r="E31" s="173">
        <v>1082</v>
      </c>
      <c r="F31" s="173">
        <v>941</v>
      </c>
      <c r="G31" s="166">
        <v>-200</v>
      </c>
      <c r="H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</row>
    <row r="32" spans="1:72" s="10" customFormat="1" ht="17.25" customHeight="1">
      <c r="A32" s="166">
        <v>2014</v>
      </c>
      <c r="B32" s="175">
        <v>821</v>
      </c>
      <c r="C32" s="175">
        <v>909</v>
      </c>
      <c r="D32" s="176" t="s">
        <v>230</v>
      </c>
      <c r="E32" s="175">
        <v>907</v>
      </c>
      <c r="F32" s="173">
        <v>1281</v>
      </c>
      <c r="G32" s="166">
        <v>-88</v>
      </c>
      <c r="H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</row>
    <row r="33" spans="1:72" s="10" customFormat="1" ht="17.25" customHeight="1">
      <c r="A33" s="166">
        <v>2015</v>
      </c>
      <c r="B33" s="175">
        <v>622</v>
      </c>
      <c r="C33" s="175">
        <v>757</v>
      </c>
      <c r="D33" s="176" t="s">
        <v>233</v>
      </c>
      <c r="E33" s="175">
        <v>775</v>
      </c>
      <c r="F33" s="173">
        <v>1109</v>
      </c>
      <c r="G33" s="166">
        <v>-135</v>
      </c>
      <c r="H33" s="28"/>
      <c r="I33" s="17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</row>
    <row r="34" spans="1:72" s="10" customFormat="1" ht="17.25" customHeight="1">
      <c r="A34" s="166">
        <v>2016</v>
      </c>
      <c r="B34" s="175">
        <v>700</v>
      </c>
      <c r="C34" s="175">
        <v>809</v>
      </c>
      <c r="D34" s="176" t="s">
        <v>278</v>
      </c>
      <c r="E34" s="175">
        <v>824</v>
      </c>
      <c r="F34" s="173">
        <v>1475</v>
      </c>
      <c r="G34" s="166">
        <v>-109</v>
      </c>
      <c r="H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</row>
    <row r="35" spans="1:72" s="10" customFormat="1" ht="17.25" customHeight="1">
      <c r="A35" s="166">
        <v>2017</v>
      </c>
      <c r="B35" s="175">
        <v>714</v>
      </c>
      <c r="C35" s="175">
        <v>846</v>
      </c>
      <c r="D35" s="176" t="s">
        <v>279</v>
      </c>
      <c r="E35" s="175">
        <v>870</v>
      </c>
      <c r="F35" s="173">
        <v>1603</v>
      </c>
      <c r="G35" s="166">
        <v>-132</v>
      </c>
      <c r="H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</row>
    <row r="36" spans="1:72" s="10" customFormat="1" ht="17.25" customHeight="1">
      <c r="A36" s="166">
        <v>2018</v>
      </c>
      <c r="B36" s="175">
        <v>598</v>
      </c>
      <c r="C36" s="175">
        <v>789</v>
      </c>
      <c r="D36" s="176" t="s">
        <v>280</v>
      </c>
      <c r="E36" s="175">
        <v>833</v>
      </c>
      <c r="F36" s="173">
        <v>1002</v>
      </c>
      <c r="G36" s="166">
        <v>-191</v>
      </c>
      <c r="H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</row>
    <row r="37" spans="1:72" s="10" customFormat="1" ht="17.25" customHeight="1">
      <c r="A37" s="166">
        <v>2019</v>
      </c>
      <c r="B37" s="175">
        <v>566</v>
      </c>
      <c r="C37" s="175">
        <v>756</v>
      </c>
      <c r="D37" s="176" t="s">
        <v>283</v>
      </c>
      <c r="E37" s="175">
        <v>853</v>
      </c>
      <c r="F37" s="173">
        <v>738</v>
      </c>
      <c r="G37" s="166">
        <v>-190</v>
      </c>
      <c r="H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</row>
    <row r="38" spans="1:72" s="10" customFormat="1" ht="17.25" customHeight="1">
      <c r="A38" s="179">
        <v>2020</v>
      </c>
      <c r="B38" s="180">
        <v>715</v>
      </c>
      <c r="C38" s="180">
        <v>829</v>
      </c>
      <c r="D38" s="181" t="s">
        <v>303</v>
      </c>
      <c r="E38" s="180">
        <v>906</v>
      </c>
      <c r="F38" s="455">
        <v>1014</v>
      </c>
      <c r="G38" s="179">
        <v>-114</v>
      </c>
      <c r="H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</row>
    <row r="39" spans="1:72" s="10" customFormat="1" ht="17.25" customHeight="1">
      <c r="A39" s="177" t="s">
        <v>312</v>
      </c>
      <c r="B39" s="16"/>
      <c r="C39" s="127"/>
      <c r="D39" s="127"/>
      <c r="E39" s="16"/>
      <c r="F39" s="127"/>
      <c r="H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</row>
    <row r="40" spans="1:72" ht="17.25" customHeight="1">
      <c r="C40" s="111"/>
      <c r="D40" s="111"/>
      <c r="F40" s="111"/>
      <c r="H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</row>
    <row r="41" spans="1:72" ht="17.25" customHeight="1">
      <c r="A41" s="111"/>
      <c r="B41" s="111"/>
      <c r="C41" s="111"/>
      <c r="D41" s="111"/>
      <c r="F41" s="111"/>
      <c r="G41" s="111"/>
      <c r="H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</row>
    <row r="42" spans="1:72" ht="17.25" customHeight="1">
      <c r="A42" s="111"/>
      <c r="B42" s="111"/>
      <c r="C42" s="111"/>
      <c r="D42" s="111"/>
      <c r="F42" s="111"/>
      <c r="G42" s="111"/>
      <c r="H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</row>
    <row r="43" spans="1:72" ht="17.25" customHeight="1">
      <c r="A43" s="111"/>
      <c r="B43" s="111"/>
      <c r="C43" s="111"/>
      <c r="D43" s="111"/>
      <c r="E43" s="111"/>
      <c r="F43" s="111"/>
      <c r="G43" s="111"/>
      <c r="H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</row>
    <row r="44" spans="1:72" ht="17.25" customHeight="1">
      <c r="A44" s="111"/>
      <c r="B44" s="111"/>
      <c r="C44" s="111"/>
      <c r="D44" s="111"/>
      <c r="E44" s="111"/>
      <c r="F44" s="111"/>
      <c r="G44" s="111"/>
      <c r="H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</row>
    <row r="45" spans="1:72" ht="17.25" customHeight="1">
      <c r="A45" s="111"/>
      <c r="B45" s="111"/>
      <c r="C45" s="111"/>
      <c r="E45" s="114"/>
      <c r="G45" s="111"/>
      <c r="H45" s="111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</row>
    <row r="46" spans="1:72" ht="17.25" customHeight="1">
      <c r="A46" s="111"/>
      <c r="B46" s="111"/>
      <c r="C46" s="111"/>
      <c r="E46" s="114"/>
      <c r="G46" s="111"/>
      <c r="H46" s="111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</row>
    <row r="47" spans="1:72" ht="17.25" customHeight="1">
      <c r="A47" s="111"/>
      <c r="B47" s="111"/>
      <c r="C47" s="111"/>
      <c r="E47" s="114"/>
      <c r="G47" s="111"/>
      <c r="H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</row>
    <row r="48" spans="1:72" ht="17.25" customHeight="1">
      <c r="A48" s="111"/>
      <c r="B48" s="111"/>
      <c r="C48" s="111"/>
      <c r="E48" s="114"/>
      <c r="G48" s="111"/>
      <c r="H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</row>
    <row r="49" spans="1:72" ht="17.25" customHeight="1">
      <c r="A49" s="111"/>
      <c r="B49" s="111"/>
      <c r="C49" s="111"/>
      <c r="E49" s="113"/>
      <c r="G49" s="111"/>
      <c r="H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</row>
    <row r="50" spans="1:72" ht="17.25" customHeight="1">
      <c r="A50" s="111"/>
      <c r="B50" s="111"/>
      <c r="C50" s="111"/>
      <c r="E50" s="113"/>
      <c r="G50" s="111"/>
      <c r="H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</row>
    <row r="51" spans="1:72" ht="17.25" customHeight="1">
      <c r="A51" s="111"/>
      <c r="B51" s="111"/>
      <c r="C51" s="111"/>
      <c r="E51" s="113"/>
      <c r="G51" s="111"/>
      <c r="H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</row>
    <row r="52" spans="1:72" ht="17.25" customHeight="1">
      <c r="A52" s="111"/>
      <c r="B52" s="111"/>
      <c r="C52" s="111"/>
      <c r="E52" s="113"/>
      <c r="G52" s="111"/>
      <c r="H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</row>
    <row r="53" spans="1:72" ht="17.25" customHeight="1">
      <c r="A53" s="111"/>
      <c r="B53" s="111"/>
      <c r="C53" s="111"/>
      <c r="E53" s="113"/>
      <c r="G53" s="111"/>
      <c r="H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</row>
    <row r="54" spans="1:72" ht="17.25" customHeight="1">
      <c r="A54" s="111"/>
      <c r="B54" s="111"/>
      <c r="C54" s="111"/>
      <c r="E54" s="113"/>
      <c r="G54" s="111"/>
      <c r="H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</row>
    <row r="55" spans="1:72" ht="17.25" customHeight="1">
      <c r="A55" s="111"/>
      <c r="B55" s="111"/>
      <c r="C55" s="111"/>
      <c r="E55" s="113"/>
      <c r="G55" s="111"/>
      <c r="H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</row>
    <row r="56" spans="1:72" ht="17.25" customHeight="1">
      <c r="A56" s="111"/>
      <c r="B56" s="111"/>
      <c r="C56" s="111"/>
      <c r="E56" s="113"/>
      <c r="G56" s="111"/>
      <c r="H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</row>
    <row r="57" spans="1:72" ht="17.25" customHeight="1">
      <c r="A57" s="111"/>
      <c r="B57" s="111"/>
      <c r="C57" s="111"/>
      <c r="E57" s="113"/>
      <c r="G57" s="111"/>
      <c r="H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</row>
    <row r="58" spans="1:72" ht="17.25" customHeight="1">
      <c r="A58" s="111"/>
      <c r="B58" s="111"/>
      <c r="C58" s="111"/>
      <c r="E58" s="113"/>
      <c r="G58" s="111"/>
      <c r="H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</row>
    <row r="59" spans="1:72" ht="17.25" customHeight="1">
      <c r="A59" s="111"/>
      <c r="B59" s="111"/>
      <c r="C59" s="111"/>
      <c r="E59" s="113"/>
      <c r="G59" s="111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</row>
    <row r="60" spans="1:72" ht="17.25" customHeight="1">
      <c r="A60" s="111"/>
      <c r="B60" s="111"/>
      <c r="C60" s="111"/>
      <c r="E60" s="113"/>
      <c r="G60" s="111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</row>
    <row r="61" spans="1:72" ht="17.25" customHeight="1">
      <c r="A61" s="111"/>
      <c r="B61" s="111"/>
      <c r="C61" s="111"/>
      <c r="E61" s="113"/>
      <c r="G61" s="111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</row>
    <row r="62" spans="1:72" ht="17.25" customHeight="1">
      <c r="A62" s="111"/>
      <c r="B62" s="111"/>
      <c r="C62" s="111"/>
      <c r="E62" s="113"/>
      <c r="G62" s="111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</row>
    <row r="63" spans="1:72" ht="17.25" customHeight="1">
      <c r="A63" s="111"/>
      <c r="B63" s="111"/>
      <c r="C63" s="111"/>
      <c r="E63" s="113"/>
      <c r="G63" s="111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</row>
    <row r="64" spans="1:72" ht="17.25" customHeight="1">
      <c r="A64" s="111"/>
      <c r="B64" s="111"/>
      <c r="C64" s="111"/>
      <c r="E64" s="113"/>
      <c r="G64" s="111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</row>
    <row r="65" spans="1:72" ht="17.25" customHeight="1">
      <c r="A65" s="111"/>
      <c r="B65" s="111"/>
      <c r="C65" s="111"/>
      <c r="E65" s="113"/>
      <c r="G65" s="111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</row>
    <row r="66" spans="1:72" ht="17.25" customHeight="1">
      <c r="A66" s="111"/>
      <c r="B66" s="111"/>
      <c r="C66" s="111"/>
      <c r="E66" s="113"/>
      <c r="G66" s="111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</row>
    <row r="67" spans="1:72" ht="17.25" customHeight="1">
      <c r="A67" s="111"/>
      <c r="B67" s="111"/>
      <c r="C67" s="111"/>
      <c r="E67" s="113"/>
      <c r="G67" s="111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</row>
    <row r="68" spans="1:72" ht="17.25" customHeight="1">
      <c r="A68" s="111"/>
      <c r="B68" s="111"/>
      <c r="C68" s="111"/>
      <c r="E68" s="113"/>
      <c r="G68" s="111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</row>
    <row r="69" spans="1:72" ht="17.25" customHeight="1">
      <c r="A69" s="111"/>
      <c r="B69" s="111"/>
      <c r="C69" s="111"/>
      <c r="E69" s="113"/>
      <c r="G69" s="111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</row>
    <row r="70" spans="1:72" ht="17.25" customHeight="1">
      <c r="A70" s="111"/>
      <c r="B70" s="111"/>
      <c r="C70" s="111"/>
      <c r="E70" s="113"/>
      <c r="G70" s="111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</row>
    <row r="71" spans="1:72" ht="17.25" customHeight="1">
      <c r="A71" s="111"/>
      <c r="B71" s="111"/>
      <c r="C71" s="111"/>
      <c r="E71" s="113"/>
      <c r="G71" s="111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</row>
    <row r="72" spans="1:72" ht="17.25" customHeight="1">
      <c r="A72" s="111"/>
      <c r="B72" s="111"/>
      <c r="C72" s="111"/>
      <c r="E72" s="113"/>
      <c r="G72" s="111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</row>
    <row r="73" spans="1:72" ht="17.25" customHeight="1">
      <c r="A73" s="111"/>
      <c r="B73" s="111"/>
      <c r="C73" s="111"/>
      <c r="E73" s="113"/>
      <c r="G73" s="111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</row>
    <row r="74" spans="1:72" ht="17.25" customHeight="1">
      <c r="A74" s="111"/>
      <c r="B74" s="111"/>
      <c r="C74" s="111"/>
      <c r="E74" s="113"/>
      <c r="G74" s="111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</row>
    <row r="75" spans="1:72" ht="17.25" customHeight="1">
      <c r="A75" s="111"/>
      <c r="B75" s="111"/>
      <c r="C75" s="111"/>
      <c r="D75" s="111"/>
      <c r="E75" s="111"/>
      <c r="F75" s="111"/>
      <c r="G75" s="111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</row>
    <row r="76" spans="1:72" ht="17.25" customHeight="1">
      <c r="A76" s="111"/>
      <c r="B76" s="111"/>
      <c r="C76" s="111"/>
      <c r="D76" s="111"/>
      <c r="E76" s="111"/>
      <c r="F76" s="111"/>
      <c r="G76" s="111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</row>
    <row r="77" spans="1:72" ht="17.25" customHeight="1">
      <c r="A77" s="111"/>
      <c r="B77" s="111"/>
      <c r="C77" s="111"/>
      <c r="D77" s="111"/>
      <c r="E77" s="111"/>
      <c r="F77" s="111"/>
      <c r="G77" s="111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</row>
    <row r="78" spans="1:72" ht="17.25" customHeight="1">
      <c r="A78" s="111"/>
      <c r="B78" s="111"/>
      <c r="C78" s="111"/>
      <c r="D78" s="111"/>
      <c r="E78" s="111"/>
      <c r="F78" s="111"/>
      <c r="G78" s="111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</row>
    <row r="79" spans="1:72" ht="17.25" customHeight="1">
      <c r="A79" s="111"/>
      <c r="B79" s="111"/>
      <c r="C79" s="111"/>
      <c r="D79" s="111"/>
      <c r="E79" s="111"/>
      <c r="F79" s="111"/>
      <c r="G79" s="111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</row>
    <row r="80" spans="1:72" ht="17.25" customHeight="1">
      <c r="A80" s="111"/>
      <c r="B80" s="111"/>
      <c r="C80" s="111"/>
      <c r="D80" s="111"/>
      <c r="E80" s="111"/>
      <c r="F80" s="111"/>
      <c r="G80" s="111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</row>
    <row r="81" spans="1:72" ht="17.25" customHeight="1">
      <c r="A81" s="111"/>
      <c r="B81" s="111"/>
      <c r="C81" s="111"/>
      <c r="D81" s="111"/>
      <c r="E81" s="111"/>
      <c r="F81" s="111"/>
      <c r="G81" s="111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</row>
    <row r="82" spans="1:72" ht="17.25" customHeight="1">
      <c r="A82" s="111"/>
      <c r="B82" s="111"/>
      <c r="C82" s="111"/>
      <c r="D82" s="111"/>
      <c r="E82" s="111"/>
      <c r="F82" s="111"/>
      <c r="G82" s="111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</row>
    <row r="83" spans="1:72" ht="17.25" customHeight="1">
      <c r="A83" s="111"/>
      <c r="B83" s="111"/>
      <c r="C83" s="111"/>
      <c r="D83" s="111"/>
      <c r="E83" s="111"/>
      <c r="F83" s="111"/>
      <c r="G83" s="111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</row>
    <row r="84" spans="1:72" ht="17.25" customHeight="1">
      <c r="A84" s="111"/>
      <c r="B84" s="111"/>
      <c r="C84" s="111"/>
      <c r="D84" s="111"/>
      <c r="E84" s="111"/>
      <c r="F84" s="111"/>
      <c r="G84" s="111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</row>
    <row r="85" spans="1:72" ht="17.25" customHeight="1">
      <c r="A85" s="111"/>
      <c r="B85" s="111"/>
      <c r="C85" s="111"/>
      <c r="D85" s="111"/>
      <c r="E85" s="111"/>
      <c r="F85" s="111"/>
      <c r="G85" s="111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</row>
    <row r="86" spans="1:72" ht="17.25" customHeight="1">
      <c r="A86" s="111"/>
      <c r="B86" s="111"/>
      <c r="C86" s="111"/>
      <c r="D86" s="111"/>
      <c r="E86" s="111"/>
      <c r="F86" s="111"/>
      <c r="G86" s="111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</row>
    <row r="87" spans="1:72" ht="17.25" customHeight="1">
      <c r="A87" s="111"/>
      <c r="B87" s="111"/>
      <c r="C87" s="111"/>
      <c r="D87" s="111"/>
      <c r="E87" s="111"/>
      <c r="F87" s="111"/>
      <c r="G87" s="111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</row>
    <row r="88" spans="1:72" ht="17.25" customHeight="1">
      <c r="A88" s="111"/>
      <c r="B88" s="111"/>
      <c r="C88" s="111"/>
      <c r="D88" s="111"/>
      <c r="E88" s="111"/>
      <c r="F88" s="111"/>
      <c r="G88" s="111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</row>
    <row r="89" spans="1:72" ht="17.25" customHeight="1">
      <c r="A89" s="111"/>
      <c r="B89" s="111"/>
      <c r="C89" s="111"/>
      <c r="D89" s="111"/>
      <c r="E89" s="111"/>
      <c r="F89" s="111"/>
      <c r="G89" s="111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</row>
    <row r="90" spans="1:72" ht="17.25" customHeight="1">
      <c r="A90" s="111"/>
      <c r="B90" s="111"/>
      <c r="C90" s="111"/>
      <c r="D90" s="111"/>
      <c r="E90" s="111"/>
      <c r="F90" s="111"/>
      <c r="G90" s="111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</row>
    <row r="91" spans="1:72" ht="17.25" customHeight="1">
      <c r="A91" s="111"/>
      <c r="B91" s="111"/>
      <c r="C91" s="111"/>
      <c r="D91" s="111"/>
      <c r="E91" s="111"/>
      <c r="F91" s="111"/>
      <c r="G91" s="111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</row>
    <row r="92" spans="1:72" ht="17.25" customHeight="1">
      <c r="A92" s="111"/>
      <c r="B92" s="111"/>
      <c r="C92" s="111"/>
      <c r="D92" s="111"/>
      <c r="E92" s="111"/>
      <c r="F92" s="111"/>
      <c r="G92" s="111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</row>
    <row r="93" spans="1:72" ht="17.25" customHeight="1">
      <c r="A93" s="111"/>
      <c r="B93" s="111"/>
      <c r="C93" s="111"/>
      <c r="D93" s="111"/>
      <c r="E93" s="111"/>
      <c r="F93" s="111"/>
      <c r="G93" s="111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</row>
    <row r="94" spans="1:72" ht="17.25" customHeight="1">
      <c r="A94" s="111"/>
      <c r="B94" s="111"/>
      <c r="C94" s="111"/>
      <c r="D94" s="111"/>
      <c r="E94" s="111"/>
      <c r="F94" s="111"/>
      <c r="G94" s="111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</row>
    <row r="95" spans="1:72" ht="17.25" customHeight="1">
      <c r="A95" s="111"/>
      <c r="B95" s="111"/>
      <c r="C95" s="111"/>
      <c r="D95" s="111"/>
      <c r="E95" s="111"/>
      <c r="F95" s="111"/>
      <c r="G95" s="111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</row>
    <row r="96" spans="1:72" ht="17.25" customHeight="1">
      <c r="A96" s="111"/>
      <c r="B96" s="111"/>
      <c r="C96" s="111"/>
      <c r="D96" s="111"/>
      <c r="E96" s="111"/>
      <c r="F96" s="111"/>
      <c r="G96" s="111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</row>
    <row r="97" spans="1:72" ht="17.25" customHeight="1">
      <c r="A97" s="111"/>
      <c r="B97" s="111"/>
      <c r="C97" s="111"/>
      <c r="D97" s="111"/>
      <c r="E97" s="111"/>
      <c r="F97" s="111"/>
      <c r="G97" s="111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</row>
    <row r="98" spans="1:72" ht="17.25" customHeight="1">
      <c r="A98" s="111"/>
      <c r="B98" s="111"/>
      <c r="C98" s="111"/>
      <c r="D98" s="111"/>
      <c r="E98" s="111"/>
      <c r="F98" s="111"/>
      <c r="G98" s="111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</row>
    <row r="99" spans="1:72" ht="17.25" customHeight="1">
      <c r="A99" s="111"/>
      <c r="B99" s="111"/>
      <c r="C99" s="111"/>
      <c r="D99" s="111"/>
      <c r="E99" s="111"/>
      <c r="F99" s="111"/>
      <c r="G99" s="111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</row>
    <row r="100" spans="1:72" ht="17.25" customHeight="1">
      <c r="A100" s="111"/>
      <c r="B100" s="111"/>
      <c r="C100" s="111"/>
      <c r="D100" s="111"/>
      <c r="E100" s="111"/>
      <c r="F100" s="111"/>
      <c r="G100" s="111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</row>
    <row r="101" spans="1:72" ht="17.25" customHeight="1">
      <c r="A101" s="111"/>
      <c r="B101" s="111"/>
      <c r="C101" s="111"/>
      <c r="D101" s="111"/>
      <c r="E101" s="111"/>
      <c r="F101" s="111"/>
      <c r="G101" s="111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</row>
    <row r="102" spans="1:72" ht="17.25" customHeight="1">
      <c r="A102" s="111"/>
      <c r="B102" s="111"/>
      <c r="C102" s="111"/>
      <c r="D102" s="111"/>
      <c r="E102" s="111"/>
      <c r="F102" s="111"/>
      <c r="G102" s="111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</row>
    <row r="103" spans="1:72" ht="17.25" customHeight="1">
      <c r="A103" s="111"/>
      <c r="B103" s="111"/>
      <c r="C103" s="111"/>
      <c r="D103" s="111"/>
      <c r="E103" s="111"/>
      <c r="F103" s="111"/>
      <c r="G103" s="111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</row>
    <row r="104" spans="1:72" ht="17.25" customHeight="1">
      <c r="A104" s="111"/>
      <c r="B104" s="111"/>
      <c r="C104" s="111"/>
      <c r="D104" s="111"/>
      <c r="E104" s="111"/>
      <c r="F104" s="111"/>
      <c r="G104" s="111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</row>
    <row r="105" spans="1:72" ht="17.25" customHeight="1">
      <c r="A105" s="111"/>
      <c r="B105" s="111"/>
      <c r="C105" s="111"/>
      <c r="D105" s="111"/>
      <c r="E105" s="111"/>
      <c r="F105" s="111"/>
      <c r="G105" s="111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</row>
    <row r="106" spans="1:72" ht="17.25" customHeight="1">
      <c r="A106" s="111"/>
      <c r="B106" s="111"/>
      <c r="C106" s="111"/>
      <c r="D106" s="111"/>
      <c r="E106" s="111"/>
      <c r="F106" s="111"/>
      <c r="G106" s="111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</row>
    <row r="107" spans="1:72" ht="17.25" customHeight="1">
      <c r="A107" s="111"/>
      <c r="B107" s="111"/>
      <c r="C107" s="111"/>
      <c r="D107" s="111"/>
      <c r="E107" s="111"/>
      <c r="F107" s="111"/>
      <c r="G107" s="111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</row>
    <row r="108" spans="1:72" ht="17.25" customHeight="1">
      <c r="A108" s="111"/>
      <c r="B108" s="111"/>
      <c r="C108" s="111"/>
      <c r="D108" s="111"/>
      <c r="E108" s="111"/>
      <c r="F108" s="111"/>
      <c r="G108" s="111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</row>
    <row r="109" spans="1:72" ht="17.25" customHeight="1">
      <c r="A109" s="111"/>
      <c r="B109" s="111"/>
      <c r="C109" s="111"/>
      <c r="D109" s="111"/>
      <c r="E109" s="111"/>
      <c r="F109" s="111"/>
      <c r="G109" s="111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</row>
    <row r="110" spans="1:72" ht="17.25" customHeight="1">
      <c r="A110" s="111"/>
      <c r="B110" s="111"/>
      <c r="C110" s="111"/>
      <c r="D110" s="111"/>
      <c r="E110" s="111"/>
      <c r="F110" s="111"/>
      <c r="G110" s="111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</row>
    <row r="111" spans="1:72" ht="17.25" customHeight="1">
      <c r="A111" s="111"/>
      <c r="B111" s="111"/>
      <c r="C111" s="111"/>
      <c r="D111" s="111"/>
      <c r="E111" s="111"/>
      <c r="F111" s="111"/>
      <c r="G111" s="111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</row>
    <row r="112" spans="1:72" ht="17.25" customHeight="1">
      <c r="A112" s="111"/>
      <c r="B112" s="111"/>
      <c r="C112" s="111"/>
      <c r="D112" s="111"/>
      <c r="E112" s="111"/>
      <c r="F112" s="111"/>
      <c r="G112" s="111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</row>
    <row r="113" spans="1:72" ht="17.25" customHeight="1">
      <c r="A113" s="111"/>
      <c r="B113" s="111"/>
      <c r="C113" s="111"/>
      <c r="D113" s="111"/>
      <c r="E113" s="111"/>
      <c r="F113" s="111"/>
      <c r="G113" s="111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</row>
    <row r="114" spans="1:72" ht="17.25" customHeight="1">
      <c r="A114" s="111"/>
      <c r="B114" s="111"/>
      <c r="C114" s="111"/>
      <c r="D114" s="111"/>
      <c r="E114" s="111"/>
      <c r="F114" s="111"/>
      <c r="G114" s="111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</row>
    <row r="115" spans="1:72" ht="17.25" customHeight="1">
      <c r="A115" s="111"/>
      <c r="B115" s="111"/>
      <c r="C115" s="111"/>
      <c r="D115" s="111"/>
      <c r="E115" s="111"/>
      <c r="F115" s="111"/>
      <c r="G115" s="111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</row>
    <row r="116" spans="1:72" ht="17.25" customHeight="1">
      <c r="A116" s="111"/>
      <c r="B116" s="111"/>
      <c r="C116" s="111"/>
      <c r="D116" s="111"/>
      <c r="E116" s="111"/>
      <c r="F116" s="111"/>
      <c r="G116" s="111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</row>
    <row r="117" spans="1:72" ht="17.25" customHeight="1">
      <c r="A117" s="111"/>
      <c r="B117" s="111"/>
      <c r="C117" s="111"/>
      <c r="D117" s="111"/>
      <c r="E117" s="111"/>
      <c r="F117" s="111"/>
      <c r="G117" s="111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</row>
    <row r="118" spans="1:72" ht="17.25" customHeight="1">
      <c r="A118" s="111"/>
      <c r="B118" s="111"/>
      <c r="C118" s="111"/>
      <c r="D118" s="111"/>
      <c r="E118" s="111"/>
      <c r="F118" s="111"/>
      <c r="G118" s="111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</row>
    <row r="119" spans="1:72" ht="17.25" customHeight="1">
      <c r="A119" s="111"/>
      <c r="B119" s="111"/>
      <c r="C119" s="111"/>
      <c r="D119" s="111"/>
      <c r="E119" s="111"/>
      <c r="F119" s="111"/>
      <c r="G119" s="111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</row>
    <row r="120" spans="1:72" ht="17.25" customHeight="1">
      <c r="A120" s="111"/>
      <c r="B120" s="111"/>
      <c r="C120" s="111"/>
      <c r="D120" s="111"/>
      <c r="E120" s="111"/>
      <c r="F120" s="111"/>
      <c r="G120" s="111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  <c r="BD120" s="103"/>
      <c r="BE120" s="103"/>
      <c r="BF120" s="103"/>
      <c r="BG120" s="103"/>
      <c r="BH120" s="103"/>
      <c r="BI120" s="103"/>
      <c r="BJ120" s="103"/>
      <c r="BK120" s="103"/>
      <c r="BL120" s="103"/>
      <c r="BM120" s="103"/>
      <c r="BN120" s="103"/>
      <c r="BO120" s="103"/>
      <c r="BP120" s="103"/>
      <c r="BQ120" s="103"/>
      <c r="BR120" s="103"/>
      <c r="BS120" s="103"/>
      <c r="BT120" s="103"/>
    </row>
    <row r="121" spans="1:72" ht="17.25" customHeight="1">
      <c r="A121" s="111"/>
      <c r="B121" s="111"/>
      <c r="C121" s="111"/>
      <c r="D121" s="111"/>
      <c r="E121" s="111"/>
      <c r="F121" s="111"/>
      <c r="G121" s="111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  <c r="BS121" s="103"/>
      <c r="BT121" s="103"/>
    </row>
    <row r="122" spans="1:72" ht="17.25" customHeight="1">
      <c r="A122" s="111"/>
      <c r="B122" s="111"/>
      <c r="C122" s="111"/>
      <c r="D122" s="111"/>
      <c r="E122" s="111"/>
      <c r="F122" s="111"/>
      <c r="G122" s="111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</row>
    <row r="123" spans="1:72" ht="17.25" customHeight="1">
      <c r="A123" s="111"/>
      <c r="B123" s="111"/>
      <c r="C123" s="111"/>
      <c r="D123" s="111"/>
      <c r="E123" s="111"/>
      <c r="F123" s="111"/>
      <c r="G123" s="111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</row>
    <row r="124" spans="1:72" ht="17.25" customHeight="1">
      <c r="A124" s="111"/>
      <c r="B124" s="111"/>
      <c r="C124" s="111"/>
      <c r="D124" s="111"/>
      <c r="E124" s="111"/>
      <c r="F124" s="111"/>
      <c r="G124" s="111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</row>
    <row r="125" spans="1:72" ht="17.25" customHeight="1">
      <c r="A125" s="111"/>
      <c r="B125" s="111"/>
      <c r="C125" s="111"/>
      <c r="D125" s="111"/>
      <c r="E125" s="111"/>
      <c r="F125" s="111"/>
      <c r="G125" s="111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</row>
    <row r="126" spans="1:72" ht="17.25" customHeight="1">
      <c r="A126" s="111"/>
      <c r="B126" s="111"/>
      <c r="C126" s="111"/>
      <c r="D126" s="111"/>
      <c r="E126" s="111"/>
      <c r="F126" s="111"/>
      <c r="G126" s="111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  <c r="BD126" s="103"/>
      <c r="BE126" s="103"/>
      <c r="BF126" s="103"/>
      <c r="BG126" s="103"/>
      <c r="BH126" s="103"/>
      <c r="BI126" s="103"/>
      <c r="BJ126" s="103"/>
      <c r="BK126" s="103"/>
      <c r="BL126" s="103"/>
      <c r="BM126" s="103"/>
      <c r="BN126" s="103"/>
      <c r="BO126" s="103"/>
      <c r="BP126" s="103"/>
      <c r="BQ126" s="103"/>
      <c r="BR126" s="103"/>
      <c r="BS126" s="103"/>
      <c r="BT126" s="103"/>
    </row>
    <row r="127" spans="1:72" ht="17.25" customHeight="1">
      <c r="A127" s="111"/>
      <c r="B127" s="111"/>
      <c r="C127" s="111"/>
      <c r="D127" s="111"/>
      <c r="E127" s="111"/>
      <c r="F127" s="111"/>
      <c r="G127" s="111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  <c r="BJ127" s="103"/>
      <c r="BK127" s="103"/>
      <c r="BL127" s="103"/>
      <c r="BM127" s="103"/>
      <c r="BN127" s="103"/>
      <c r="BO127" s="103"/>
      <c r="BP127" s="103"/>
      <c r="BQ127" s="103"/>
      <c r="BR127" s="103"/>
      <c r="BS127" s="103"/>
      <c r="BT127" s="103"/>
    </row>
    <row r="128" spans="1:72" ht="17.25" customHeight="1">
      <c r="A128" s="111"/>
      <c r="B128" s="111"/>
      <c r="C128" s="111"/>
      <c r="D128" s="111"/>
      <c r="E128" s="111"/>
      <c r="F128" s="111"/>
      <c r="G128" s="111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3"/>
      <c r="BQ128" s="103"/>
      <c r="BR128" s="103"/>
      <c r="BS128" s="103"/>
      <c r="BT128" s="103"/>
    </row>
    <row r="129" spans="1:72" ht="17.25" customHeight="1">
      <c r="A129" s="111"/>
      <c r="B129" s="111"/>
      <c r="C129" s="111"/>
      <c r="D129" s="111"/>
      <c r="E129" s="111"/>
      <c r="F129" s="111"/>
      <c r="G129" s="111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03"/>
      <c r="BE129" s="103"/>
      <c r="BF129" s="103"/>
      <c r="BG129" s="103"/>
      <c r="BH129" s="103"/>
      <c r="BI129" s="103"/>
      <c r="BJ129" s="103"/>
      <c r="BK129" s="103"/>
      <c r="BL129" s="103"/>
      <c r="BM129" s="103"/>
      <c r="BN129" s="103"/>
      <c r="BO129" s="103"/>
      <c r="BP129" s="103"/>
      <c r="BQ129" s="103"/>
      <c r="BR129" s="103"/>
      <c r="BS129" s="103"/>
      <c r="BT129" s="103"/>
    </row>
    <row r="130" spans="1:72" ht="17.25" customHeight="1">
      <c r="A130" s="111"/>
      <c r="B130" s="111"/>
      <c r="C130" s="111"/>
      <c r="D130" s="111"/>
      <c r="E130" s="111"/>
      <c r="F130" s="111"/>
      <c r="G130" s="111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  <c r="BD130" s="103"/>
      <c r="BE130" s="103"/>
      <c r="BF130" s="103"/>
      <c r="BG130" s="103"/>
      <c r="BH130" s="103"/>
      <c r="BI130" s="103"/>
      <c r="BJ130" s="103"/>
      <c r="BK130" s="103"/>
      <c r="BL130" s="103"/>
      <c r="BM130" s="103"/>
      <c r="BN130" s="103"/>
      <c r="BO130" s="103"/>
      <c r="BP130" s="103"/>
      <c r="BQ130" s="103"/>
      <c r="BR130" s="103"/>
      <c r="BS130" s="103"/>
      <c r="BT130" s="103"/>
    </row>
    <row r="131" spans="1:72" ht="17.25" customHeight="1">
      <c r="A131" s="111"/>
      <c r="B131" s="111"/>
      <c r="C131" s="111"/>
      <c r="D131" s="111"/>
      <c r="E131" s="111"/>
      <c r="F131" s="111"/>
      <c r="G131" s="111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103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  <c r="BP131" s="103"/>
      <c r="BQ131" s="103"/>
      <c r="BR131" s="103"/>
      <c r="BS131" s="103"/>
      <c r="BT131" s="103"/>
    </row>
    <row r="132" spans="1:72" ht="17.25" customHeight="1">
      <c r="A132" s="111"/>
      <c r="B132" s="111"/>
      <c r="C132" s="111"/>
      <c r="D132" s="111"/>
      <c r="E132" s="111"/>
      <c r="F132" s="111"/>
      <c r="G132" s="111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  <c r="BD132" s="103"/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03"/>
      <c r="BO132" s="103"/>
      <c r="BP132" s="103"/>
      <c r="BQ132" s="103"/>
      <c r="BR132" s="103"/>
      <c r="BS132" s="103"/>
      <c r="BT132" s="103"/>
    </row>
    <row r="133" spans="1:72" ht="17.25" customHeight="1">
      <c r="A133" s="111"/>
      <c r="B133" s="111"/>
      <c r="C133" s="111"/>
      <c r="D133" s="111"/>
      <c r="E133" s="111"/>
      <c r="F133" s="111"/>
      <c r="G133" s="111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  <c r="BJ133" s="103"/>
      <c r="BK133" s="103"/>
      <c r="BL133" s="103"/>
      <c r="BM133" s="103"/>
      <c r="BN133" s="103"/>
      <c r="BO133" s="103"/>
      <c r="BP133" s="103"/>
      <c r="BQ133" s="103"/>
      <c r="BR133" s="103"/>
      <c r="BS133" s="103"/>
      <c r="BT133" s="103"/>
    </row>
    <row r="134" spans="1:72" ht="17.25" customHeight="1">
      <c r="A134" s="111"/>
      <c r="B134" s="111"/>
      <c r="C134" s="111"/>
      <c r="D134" s="111"/>
      <c r="E134" s="111"/>
      <c r="F134" s="111"/>
      <c r="G134" s="111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03"/>
      <c r="BO134" s="103"/>
      <c r="BP134" s="103"/>
      <c r="BQ134" s="103"/>
      <c r="BR134" s="103"/>
      <c r="BS134" s="103"/>
      <c r="BT134" s="103"/>
    </row>
    <row r="135" spans="1:72" ht="17.25" customHeight="1">
      <c r="A135" s="111"/>
      <c r="B135" s="111"/>
      <c r="C135" s="111"/>
      <c r="D135" s="111"/>
      <c r="E135" s="111"/>
      <c r="F135" s="111"/>
      <c r="G135" s="111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  <c r="BD135" s="103"/>
      <c r="BE135" s="103"/>
      <c r="BF135" s="103"/>
      <c r="BG135" s="103"/>
      <c r="BH135" s="103"/>
      <c r="BI135" s="103"/>
      <c r="BJ135" s="103"/>
      <c r="BK135" s="103"/>
      <c r="BL135" s="103"/>
      <c r="BM135" s="103"/>
      <c r="BN135" s="103"/>
      <c r="BO135" s="103"/>
      <c r="BP135" s="103"/>
      <c r="BQ135" s="103"/>
      <c r="BR135" s="103"/>
      <c r="BS135" s="103"/>
      <c r="BT135" s="103"/>
    </row>
    <row r="136" spans="1:72" ht="17.25" customHeight="1">
      <c r="A136" s="111"/>
      <c r="B136" s="111"/>
      <c r="C136" s="111"/>
      <c r="D136" s="111"/>
      <c r="E136" s="111"/>
      <c r="F136" s="111"/>
      <c r="G136" s="111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  <c r="BD136" s="103"/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03"/>
      <c r="BO136" s="103"/>
      <c r="BP136" s="103"/>
      <c r="BQ136" s="103"/>
      <c r="BR136" s="103"/>
      <c r="BS136" s="103"/>
      <c r="BT136" s="103"/>
    </row>
    <row r="137" spans="1:72" ht="17.25" customHeight="1">
      <c r="A137" s="111"/>
      <c r="B137" s="111"/>
      <c r="C137" s="111"/>
      <c r="D137" s="111"/>
      <c r="E137" s="111"/>
      <c r="F137" s="111"/>
      <c r="G137" s="111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  <c r="BD137" s="103"/>
      <c r="BE137" s="103"/>
      <c r="BF137" s="103"/>
      <c r="BG137" s="103"/>
      <c r="BH137" s="103"/>
      <c r="BI137" s="103"/>
      <c r="BJ137" s="103"/>
      <c r="BK137" s="103"/>
      <c r="BL137" s="103"/>
      <c r="BM137" s="103"/>
      <c r="BN137" s="103"/>
      <c r="BO137" s="103"/>
      <c r="BP137" s="103"/>
      <c r="BQ137" s="103"/>
      <c r="BR137" s="103"/>
      <c r="BS137" s="103"/>
      <c r="BT137" s="103"/>
    </row>
    <row r="138" spans="1:72" ht="17.25" customHeight="1">
      <c r="A138" s="111"/>
      <c r="B138" s="111"/>
      <c r="C138" s="111"/>
      <c r="D138" s="111"/>
      <c r="E138" s="111"/>
      <c r="F138" s="111"/>
      <c r="G138" s="111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  <c r="BD138" s="103"/>
      <c r="BE138" s="103"/>
      <c r="BF138" s="103"/>
      <c r="BG138" s="103"/>
      <c r="BH138" s="103"/>
      <c r="BI138" s="103"/>
      <c r="BJ138" s="103"/>
      <c r="BK138" s="103"/>
      <c r="BL138" s="103"/>
      <c r="BM138" s="103"/>
      <c r="BN138" s="103"/>
      <c r="BO138" s="103"/>
      <c r="BP138" s="103"/>
      <c r="BQ138" s="103"/>
      <c r="BR138" s="103"/>
      <c r="BS138" s="103"/>
      <c r="BT138" s="103"/>
    </row>
    <row r="139" spans="1:72" ht="17.25" customHeight="1">
      <c r="A139" s="111"/>
      <c r="B139" s="111"/>
      <c r="C139" s="111"/>
      <c r="D139" s="111"/>
      <c r="E139" s="111"/>
      <c r="F139" s="111"/>
      <c r="G139" s="111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  <c r="BD139" s="103"/>
      <c r="BE139" s="103"/>
      <c r="BF139" s="103"/>
      <c r="BG139" s="103"/>
      <c r="BH139" s="103"/>
      <c r="BI139" s="103"/>
      <c r="BJ139" s="103"/>
      <c r="BK139" s="103"/>
      <c r="BL139" s="103"/>
      <c r="BM139" s="103"/>
      <c r="BN139" s="103"/>
      <c r="BO139" s="103"/>
      <c r="BP139" s="103"/>
      <c r="BQ139" s="103"/>
      <c r="BR139" s="103"/>
      <c r="BS139" s="103"/>
      <c r="BT139" s="103"/>
    </row>
    <row r="140" spans="1:72" ht="17.25" customHeight="1">
      <c r="A140" s="111"/>
      <c r="B140" s="111"/>
      <c r="C140" s="111"/>
      <c r="D140" s="111"/>
      <c r="E140" s="111"/>
      <c r="F140" s="111"/>
      <c r="G140" s="111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  <c r="BD140" s="103"/>
      <c r="BE140" s="103"/>
      <c r="BF140" s="103"/>
      <c r="BG140" s="103"/>
      <c r="BH140" s="103"/>
      <c r="BI140" s="103"/>
      <c r="BJ140" s="103"/>
      <c r="BK140" s="103"/>
      <c r="BL140" s="103"/>
      <c r="BM140" s="103"/>
      <c r="BN140" s="103"/>
      <c r="BO140" s="103"/>
      <c r="BP140" s="103"/>
      <c r="BQ140" s="103"/>
      <c r="BR140" s="103"/>
      <c r="BS140" s="103"/>
      <c r="BT140" s="103"/>
    </row>
    <row r="141" spans="1:72" ht="17.25" customHeight="1">
      <c r="A141" s="111"/>
      <c r="B141" s="111"/>
      <c r="C141" s="111"/>
      <c r="D141" s="111"/>
      <c r="E141" s="111"/>
      <c r="F141" s="111"/>
      <c r="G141" s="111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  <c r="BD141" s="103"/>
      <c r="BE141" s="103"/>
      <c r="BF141" s="103"/>
      <c r="BG141" s="103"/>
      <c r="BH141" s="103"/>
      <c r="BI141" s="103"/>
      <c r="BJ141" s="103"/>
      <c r="BK141" s="103"/>
      <c r="BL141" s="103"/>
      <c r="BM141" s="103"/>
      <c r="BN141" s="103"/>
      <c r="BO141" s="103"/>
      <c r="BP141" s="103"/>
      <c r="BQ141" s="103"/>
      <c r="BR141" s="103"/>
      <c r="BS141" s="103"/>
      <c r="BT141" s="103"/>
    </row>
    <row r="142" spans="1:72" ht="17.25" customHeight="1">
      <c r="A142" s="111"/>
      <c r="B142" s="111"/>
      <c r="C142" s="111"/>
      <c r="D142" s="111"/>
      <c r="E142" s="111"/>
      <c r="F142" s="111"/>
      <c r="G142" s="111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103"/>
      <c r="BF142" s="103"/>
      <c r="BG142" s="103"/>
      <c r="BH142" s="103"/>
      <c r="BI142" s="103"/>
      <c r="BJ142" s="103"/>
      <c r="BK142" s="103"/>
      <c r="BL142" s="103"/>
      <c r="BM142" s="103"/>
      <c r="BN142" s="103"/>
      <c r="BO142" s="103"/>
      <c r="BP142" s="103"/>
      <c r="BQ142" s="103"/>
      <c r="BR142" s="103"/>
      <c r="BS142" s="103"/>
      <c r="BT142" s="103"/>
    </row>
    <row r="143" spans="1:72" ht="17.25" customHeight="1">
      <c r="A143" s="111"/>
      <c r="B143" s="111"/>
      <c r="C143" s="111"/>
      <c r="D143" s="111"/>
      <c r="E143" s="111"/>
      <c r="F143" s="111"/>
      <c r="G143" s="111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  <c r="BD143" s="103"/>
      <c r="BE143" s="103"/>
      <c r="BF143" s="103"/>
      <c r="BG143" s="103"/>
      <c r="BH143" s="103"/>
      <c r="BI143" s="103"/>
      <c r="BJ143" s="103"/>
      <c r="BK143" s="103"/>
      <c r="BL143" s="103"/>
      <c r="BM143" s="103"/>
      <c r="BN143" s="103"/>
      <c r="BO143" s="103"/>
      <c r="BP143" s="103"/>
      <c r="BQ143" s="103"/>
      <c r="BR143" s="103"/>
      <c r="BS143" s="103"/>
      <c r="BT143" s="103"/>
    </row>
    <row r="144" spans="1:72" ht="17.25" customHeight="1">
      <c r="A144" s="111"/>
      <c r="B144" s="111"/>
      <c r="C144" s="111"/>
      <c r="D144" s="111"/>
      <c r="E144" s="111"/>
      <c r="F144" s="111"/>
      <c r="G144" s="111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  <c r="BD144" s="103"/>
      <c r="BE144" s="103"/>
      <c r="BF144" s="103"/>
      <c r="BG144" s="103"/>
      <c r="BH144" s="103"/>
      <c r="BI144" s="103"/>
      <c r="BJ144" s="103"/>
      <c r="BK144" s="103"/>
      <c r="BL144" s="103"/>
      <c r="BM144" s="103"/>
      <c r="BN144" s="103"/>
      <c r="BO144" s="103"/>
      <c r="BP144" s="103"/>
      <c r="BQ144" s="103"/>
      <c r="BR144" s="103"/>
      <c r="BS144" s="103"/>
      <c r="BT144" s="103"/>
    </row>
    <row r="145" spans="1:72" ht="17.25" customHeight="1">
      <c r="A145" s="111"/>
      <c r="B145" s="111"/>
      <c r="C145" s="111"/>
      <c r="D145" s="111"/>
      <c r="E145" s="111"/>
      <c r="F145" s="111"/>
      <c r="G145" s="111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  <c r="BF145" s="103"/>
      <c r="BG145" s="103"/>
      <c r="BH145" s="103"/>
      <c r="BI145" s="103"/>
      <c r="BJ145" s="103"/>
      <c r="BK145" s="103"/>
      <c r="BL145" s="103"/>
      <c r="BM145" s="103"/>
      <c r="BN145" s="103"/>
      <c r="BO145" s="103"/>
      <c r="BP145" s="103"/>
      <c r="BQ145" s="103"/>
      <c r="BR145" s="103"/>
      <c r="BS145" s="103"/>
      <c r="BT145" s="103"/>
    </row>
    <row r="146" spans="1:72" ht="17.25" customHeight="1">
      <c r="A146" s="111"/>
      <c r="B146" s="111"/>
      <c r="C146" s="111"/>
      <c r="D146" s="111"/>
      <c r="E146" s="111"/>
      <c r="F146" s="111"/>
      <c r="G146" s="111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  <c r="BD146" s="103"/>
      <c r="BE146" s="103"/>
      <c r="BF146" s="103"/>
      <c r="BG146" s="103"/>
      <c r="BH146" s="103"/>
      <c r="BI146" s="103"/>
      <c r="BJ146" s="103"/>
      <c r="BK146" s="103"/>
      <c r="BL146" s="103"/>
      <c r="BM146" s="103"/>
      <c r="BN146" s="103"/>
      <c r="BO146" s="103"/>
      <c r="BP146" s="103"/>
      <c r="BQ146" s="103"/>
      <c r="BR146" s="103"/>
      <c r="BS146" s="103"/>
      <c r="BT146" s="103"/>
    </row>
    <row r="147" spans="1:72" ht="17.25" customHeight="1">
      <c r="A147" s="111"/>
      <c r="B147" s="111"/>
      <c r="C147" s="111"/>
      <c r="D147" s="111"/>
      <c r="E147" s="111"/>
      <c r="F147" s="111"/>
      <c r="G147" s="111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  <c r="BD147" s="103"/>
      <c r="BE147" s="103"/>
      <c r="BF147" s="103"/>
      <c r="BG147" s="103"/>
      <c r="BH147" s="103"/>
      <c r="BI147" s="103"/>
      <c r="BJ147" s="103"/>
      <c r="BK147" s="103"/>
      <c r="BL147" s="103"/>
      <c r="BM147" s="103"/>
      <c r="BN147" s="103"/>
      <c r="BO147" s="103"/>
      <c r="BP147" s="103"/>
      <c r="BQ147" s="103"/>
      <c r="BR147" s="103"/>
      <c r="BS147" s="103"/>
      <c r="BT147" s="103"/>
    </row>
    <row r="148" spans="1:72" ht="17.25" customHeight="1">
      <c r="A148" s="111"/>
      <c r="B148" s="111"/>
      <c r="C148" s="111"/>
      <c r="D148" s="111"/>
      <c r="E148" s="111"/>
      <c r="F148" s="111"/>
      <c r="G148" s="111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  <c r="BD148" s="103"/>
      <c r="BE148" s="103"/>
      <c r="BF148" s="103"/>
      <c r="BG148" s="103"/>
      <c r="BH148" s="103"/>
      <c r="BI148" s="103"/>
      <c r="BJ148" s="103"/>
      <c r="BK148" s="103"/>
      <c r="BL148" s="103"/>
      <c r="BM148" s="103"/>
      <c r="BN148" s="103"/>
      <c r="BO148" s="103"/>
      <c r="BP148" s="103"/>
      <c r="BQ148" s="103"/>
      <c r="BR148" s="103"/>
      <c r="BS148" s="103"/>
      <c r="BT148" s="103"/>
    </row>
    <row r="149" spans="1:72" ht="17.25" customHeight="1">
      <c r="A149" s="111"/>
      <c r="B149" s="111"/>
      <c r="C149" s="111"/>
      <c r="D149" s="111"/>
      <c r="E149" s="111"/>
      <c r="F149" s="111"/>
      <c r="G149" s="111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  <c r="BI149" s="103"/>
      <c r="BJ149" s="103"/>
      <c r="BK149" s="103"/>
      <c r="BL149" s="103"/>
      <c r="BM149" s="103"/>
      <c r="BN149" s="103"/>
      <c r="BO149" s="103"/>
      <c r="BP149" s="103"/>
      <c r="BQ149" s="103"/>
      <c r="BR149" s="103"/>
      <c r="BS149" s="103"/>
      <c r="BT149" s="103"/>
    </row>
    <row r="150" spans="1:72" ht="17.25" customHeight="1">
      <c r="A150" s="111"/>
      <c r="B150" s="111"/>
      <c r="C150" s="111"/>
      <c r="D150" s="111"/>
      <c r="E150" s="111"/>
      <c r="F150" s="111"/>
      <c r="G150" s="111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  <c r="BD150" s="103"/>
      <c r="BE150" s="103"/>
      <c r="BF150" s="103"/>
      <c r="BG150" s="103"/>
      <c r="BH150" s="103"/>
      <c r="BI150" s="103"/>
      <c r="BJ150" s="103"/>
      <c r="BK150" s="103"/>
      <c r="BL150" s="103"/>
      <c r="BM150" s="103"/>
      <c r="BN150" s="103"/>
      <c r="BO150" s="103"/>
      <c r="BP150" s="103"/>
      <c r="BQ150" s="103"/>
      <c r="BR150" s="103"/>
      <c r="BS150" s="103"/>
      <c r="BT150" s="103"/>
    </row>
    <row r="151" spans="1:72" ht="17.25" customHeight="1">
      <c r="A151" s="111"/>
      <c r="B151" s="111"/>
      <c r="C151" s="111"/>
      <c r="D151" s="111"/>
      <c r="E151" s="111"/>
      <c r="F151" s="111"/>
      <c r="G151" s="111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  <c r="BD151" s="103"/>
      <c r="BE151" s="103"/>
      <c r="BF151" s="103"/>
      <c r="BG151" s="103"/>
      <c r="BH151" s="103"/>
      <c r="BI151" s="103"/>
      <c r="BJ151" s="103"/>
      <c r="BK151" s="103"/>
      <c r="BL151" s="103"/>
      <c r="BM151" s="103"/>
      <c r="BN151" s="103"/>
      <c r="BO151" s="103"/>
      <c r="BP151" s="103"/>
      <c r="BQ151" s="103"/>
      <c r="BR151" s="103"/>
      <c r="BS151" s="103"/>
      <c r="BT151" s="103"/>
    </row>
    <row r="152" spans="1:72" ht="17.25" customHeight="1">
      <c r="A152" s="111"/>
      <c r="B152" s="111"/>
      <c r="C152" s="111"/>
      <c r="D152" s="111"/>
      <c r="E152" s="111"/>
      <c r="F152" s="111"/>
      <c r="G152" s="111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  <c r="BD152" s="103"/>
      <c r="BE152" s="103"/>
      <c r="BF152" s="103"/>
      <c r="BG152" s="103"/>
      <c r="BH152" s="103"/>
      <c r="BI152" s="103"/>
      <c r="BJ152" s="103"/>
      <c r="BK152" s="103"/>
      <c r="BL152" s="103"/>
      <c r="BM152" s="103"/>
      <c r="BN152" s="103"/>
      <c r="BO152" s="103"/>
      <c r="BP152" s="103"/>
      <c r="BQ152" s="103"/>
      <c r="BR152" s="103"/>
      <c r="BS152" s="103"/>
      <c r="BT152" s="103"/>
    </row>
    <row r="153" spans="1:72" ht="17.25" customHeight="1">
      <c r="A153" s="111"/>
      <c r="B153" s="111"/>
      <c r="C153" s="111"/>
      <c r="D153" s="111"/>
      <c r="E153" s="111"/>
      <c r="F153" s="111"/>
      <c r="G153" s="111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  <c r="BD153" s="103"/>
      <c r="BE153" s="103"/>
      <c r="BF153" s="103"/>
      <c r="BG153" s="103"/>
      <c r="BH153" s="103"/>
      <c r="BI153" s="103"/>
      <c r="BJ153" s="103"/>
      <c r="BK153" s="103"/>
      <c r="BL153" s="103"/>
      <c r="BM153" s="103"/>
      <c r="BN153" s="103"/>
      <c r="BO153" s="103"/>
      <c r="BP153" s="103"/>
      <c r="BQ153" s="103"/>
      <c r="BR153" s="103"/>
      <c r="BS153" s="103"/>
      <c r="BT153" s="103"/>
    </row>
    <row r="154" spans="1:72" ht="17.25" customHeight="1">
      <c r="A154" s="111"/>
      <c r="B154" s="111"/>
      <c r="C154" s="111"/>
      <c r="D154" s="111"/>
      <c r="E154" s="111"/>
      <c r="F154" s="111"/>
      <c r="G154" s="111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  <c r="BD154" s="103"/>
      <c r="BE154" s="103"/>
      <c r="BF154" s="103"/>
      <c r="BG154" s="103"/>
      <c r="BH154" s="103"/>
      <c r="BI154" s="103"/>
      <c r="BJ154" s="103"/>
      <c r="BK154" s="103"/>
      <c r="BL154" s="103"/>
      <c r="BM154" s="103"/>
      <c r="BN154" s="103"/>
      <c r="BO154" s="103"/>
      <c r="BP154" s="103"/>
      <c r="BQ154" s="103"/>
      <c r="BR154" s="103"/>
      <c r="BS154" s="103"/>
      <c r="BT154" s="103"/>
    </row>
    <row r="155" spans="1:72" ht="17.25" customHeight="1">
      <c r="A155" s="111"/>
      <c r="B155" s="111"/>
      <c r="C155" s="111"/>
      <c r="D155" s="111"/>
      <c r="E155" s="111"/>
      <c r="F155" s="111"/>
      <c r="G155" s="111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  <c r="BD155" s="103"/>
      <c r="BE155" s="103"/>
      <c r="BF155" s="103"/>
      <c r="BG155" s="103"/>
      <c r="BH155" s="103"/>
      <c r="BI155" s="103"/>
      <c r="BJ155" s="103"/>
      <c r="BK155" s="103"/>
      <c r="BL155" s="103"/>
      <c r="BM155" s="103"/>
      <c r="BN155" s="103"/>
      <c r="BO155" s="103"/>
      <c r="BP155" s="103"/>
      <c r="BQ155" s="103"/>
      <c r="BR155" s="103"/>
      <c r="BS155" s="103"/>
      <c r="BT155" s="103"/>
    </row>
    <row r="156" spans="1:72" ht="17.25" customHeight="1">
      <c r="A156" s="111"/>
      <c r="B156" s="111"/>
      <c r="C156" s="111"/>
      <c r="D156" s="111"/>
      <c r="E156" s="111"/>
      <c r="F156" s="111"/>
      <c r="G156" s="111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  <c r="BD156" s="103"/>
      <c r="BE156" s="103"/>
      <c r="BF156" s="103"/>
      <c r="BG156" s="103"/>
      <c r="BH156" s="103"/>
      <c r="BI156" s="103"/>
      <c r="BJ156" s="103"/>
      <c r="BK156" s="103"/>
      <c r="BL156" s="103"/>
      <c r="BM156" s="103"/>
      <c r="BN156" s="103"/>
      <c r="BO156" s="103"/>
      <c r="BP156" s="103"/>
      <c r="BQ156" s="103"/>
      <c r="BR156" s="103"/>
      <c r="BS156" s="103"/>
      <c r="BT156" s="103"/>
    </row>
    <row r="157" spans="1:72" ht="17.25" customHeight="1">
      <c r="A157" s="111"/>
      <c r="B157" s="111"/>
      <c r="C157" s="111"/>
      <c r="D157" s="111"/>
      <c r="E157" s="111"/>
      <c r="F157" s="111"/>
      <c r="G157" s="111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3"/>
      <c r="BJ157" s="103"/>
      <c r="BK157" s="103"/>
      <c r="BL157" s="103"/>
      <c r="BM157" s="103"/>
      <c r="BN157" s="103"/>
      <c r="BO157" s="103"/>
      <c r="BP157" s="103"/>
      <c r="BQ157" s="103"/>
      <c r="BR157" s="103"/>
      <c r="BS157" s="103"/>
      <c r="BT157" s="103"/>
    </row>
    <row r="158" spans="1:72" ht="17.25" customHeight="1">
      <c r="A158" s="111"/>
      <c r="B158" s="111"/>
      <c r="C158" s="111"/>
      <c r="D158" s="111"/>
      <c r="E158" s="111"/>
      <c r="F158" s="111"/>
      <c r="G158" s="111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  <c r="BD158" s="103"/>
      <c r="BE158" s="103"/>
      <c r="BF158" s="103"/>
      <c r="BG158" s="103"/>
      <c r="BH158" s="103"/>
      <c r="BI158" s="103"/>
      <c r="BJ158" s="103"/>
      <c r="BK158" s="103"/>
      <c r="BL158" s="103"/>
      <c r="BM158" s="103"/>
      <c r="BN158" s="103"/>
      <c r="BO158" s="103"/>
      <c r="BP158" s="103"/>
      <c r="BQ158" s="103"/>
      <c r="BR158" s="103"/>
      <c r="BS158" s="103"/>
      <c r="BT158" s="103"/>
    </row>
    <row r="159" spans="1:72" ht="17.25" customHeight="1">
      <c r="A159" s="111"/>
      <c r="B159" s="111"/>
      <c r="C159" s="111"/>
      <c r="D159" s="111"/>
      <c r="E159" s="111"/>
      <c r="F159" s="111"/>
      <c r="G159" s="111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  <c r="BD159" s="103"/>
      <c r="BE159" s="103"/>
      <c r="BF159" s="103"/>
      <c r="BG159" s="103"/>
      <c r="BH159" s="103"/>
      <c r="BI159" s="103"/>
      <c r="BJ159" s="103"/>
      <c r="BK159" s="103"/>
      <c r="BL159" s="103"/>
      <c r="BM159" s="103"/>
      <c r="BN159" s="103"/>
      <c r="BO159" s="103"/>
      <c r="BP159" s="103"/>
      <c r="BQ159" s="103"/>
      <c r="BR159" s="103"/>
      <c r="BS159" s="103"/>
      <c r="BT159" s="103"/>
    </row>
    <row r="160" spans="1:72" ht="17.25" customHeight="1">
      <c r="A160" s="111"/>
      <c r="B160" s="111"/>
      <c r="C160" s="111"/>
      <c r="D160" s="111"/>
      <c r="E160" s="111"/>
      <c r="F160" s="111"/>
      <c r="G160" s="111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  <c r="BD160" s="103"/>
      <c r="BE160" s="103"/>
      <c r="BF160" s="103"/>
      <c r="BG160" s="103"/>
      <c r="BH160" s="103"/>
      <c r="BI160" s="103"/>
      <c r="BJ160" s="103"/>
      <c r="BK160" s="103"/>
      <c r="BL160" s="103"/>
      <c r="BM160" s="103"/>
      <c r="BN160" s="103"/>
      <c r="BO160" s="103"/>
      <c r="BP160" s="103"/>
      <c r="BQ160" s="103"/>
      <c r="BR160" s="103"/>
      <c r="BS160" s="103"/>
      <c r="BT160" s="103"/>
    </row>
    <row r="161" spans="1:72" ht="17.25" customHeight="1">
      <c r="A161" s="111"/>
      <c r="B161" s="111"/>
      <c r="C161" s="111"/>
      <c r="D161" s="111"/>
      <c r="E161" s="111"/>
      <c r="F161" s="111"/>
      <c r="G161" s="111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  <c r="BD161" s="103"/>
      <c r="BE161" s="103"/>
      <c r="BF161" s="103"/>
      <c r="BG161" s="103"/>
      <c r="BH161" s="103"/>
      <c r="BI161" s="103"/>
      <c r="BJ161" s="103"/>
      <c r="BK161" s="103"/>
      <c r="BL161" s="103"/>
      <c r="BM161" s="103"/>
      <c r="BN161" s="103"/>
      <c r="BO161" s="103"/>
      <c r="BP161" s="103"/>
      <c r="BQ161" s="103"/>
      <c r="BR161" s="103"/>
      <c r="BS161" s="103"/>
      <c r="BT161" s="103"/>
    </row>
    <row r="162" spans="1:72" ht="17.25" customHeight="1">
      <c r="A162" s="111"/>
      <c r="B162" s="111"/>
      <c r="C162" s="111"/>
      <c r="D162" s="111"/>
      <c r="E162" s="111"/>
      <c r="F162" s="111"/>
      <c r="G162" s="111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  <c r="BD162" s="103"/>
      <c r="BE162" s="103"/>
      <c r="BF162" s="103"/>
      <c r="BG162" s="103"/>
      <c r="BH162" s="103"/>
      <c r="BI162" s="103"/>
      <c r="BJ162" s="103"/>
      <c r="BK162" s="103"/>
      <c r="BL162" s="103"/>
      <c r="BM162" s="103"/>
      <c r="BN162" s="103"/>
      <c r="BO162" s="103"/>
      <c r="BP162" s="103"/>
      <c r="BQ162" s="103"/>
      <c r="BR162" s="103"/>
      <c r="BS162" s="103"/>
      <c r="BT162" s="103"/>
    </row>
    <row r="163" spans="1:72" ht="17.25" customHeight="1">
      <c r="A163" s="111"/>
      <c r="B163" s="111"/>
      <c r="C163" s="111"/>
      <c r="D163" s="111"/>
      <c r="E163" s="111"/>
      <c r="F163" s="111"/>
      <c r="G163" s="111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  <c r="BD163" s="103"/>
      <c r="BE163" s="103"/>
      <c r="BF163" s="103"/>
      <c r="BG163" s="103"/>
      <c r="BH163" s="103"/>
      <c r="BI163" s="103"/>
      <c r="BJ163" s="103"/>
      <c r="BK163" s="103"/>
      <c r="BL163" s="103"/>
      <c r="BM163" s="103"/>
      <c r="BN163" s="103"/>
      <c r="BO163" s="103"/>
      <c r="BP163" s="103"/>
      <c r="BQ163" s="103"/>
      <c r="BR163" s="103"/>
      <c r="BS163" s="103"/>
      <c r="BT163" s="103"/>
    </row>
    <row r="164" spans="1:72" ht="17.25" customHeight="1">
      <c r="A164" s="111"/>
      <c r="B164" s="111"/>
      <c r="C164" s="111"/>
      <c r="D164" s="111"/>
      <c r="E164" s="111"/>
      <c r="F164" s="111"/>
      <c r="G164" s="111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  <c r="BD164" s="103"/>
      <c r="BE164" s="103"/>
      <c r="BF164" s="103"/>
      <c r="BG164" s="103"/>
      <c r="BH164" s="103"/>
      <c r="BI164" s="103"/>
      <c r="BJ164" s="103"/>
      <c r="BK164" s="103"/>
      <c r="BL164" s="103"/>
      <c r="BM164" s="103"/>
      <c r="BN164" s="103"/>
      <c r="BO164" s="103"/>
      <c r="BP164" s="103"/>
      <c r="BQ164" s="103"/>
      <c r="BR164" s="103"/>
      <c r="BS164" s="103"/>
      <c r="BT164" s="103"/>
    </row>
    <row r="165" spans="1:72" ht="17.25" customHeight="1">
      <c r="A165" s="111"/>
      <c r="B165" s="111"/>
      <c r="C165" s="111"/>
      <c r="D165" s="111"/>
      <c r="E165" s="111"/>
      <c r="F165" s="111"/>
      <c r="G165" s="111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  <c r="BD165" s="103"/>
      <c r="BE165" s="103"/>
      <c r="BF165" s="103"/>
      <c r="BG165" s="103"/>
      <c r="BH165" s="103"/>
      <c r="BI165" s="103"/>
      <c r="BJ165" s="103"/>
      <c r="BK165" s="103"/>
      <c r="BL165" s="103"/>
      <c r="BM165" s="103"/>
      <c r="BN165" s="103"/>
      <c r="BO165" s="103"/>
      <c r="BP165" s="103"/>
      <c r="BQ165" s="103"/>
      <c r="BR165" s="103"/>
      <c r="BS165" s="103"/>
      <c r="BT165" s="103"/>
    </row>
    <row r="166" spans="1:72" ht="17.25" customHeight="1">
      <c r="A166" s="111"/>
      <c r="B166" s="111"/>
      <c r="C166" s="111"/>
      <c r="D166" s="111"/>
      <c r="E166" s="111"/>
      <c r="F166" s="111"/>
      <c r="G166" s="111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3"/>
      <c r="BJ166" s="103"/>
      <c r="BK166" s="103"/>
      <c r="BL166" s="103"/>
      <c r="BM166" s="103"/>
      <c r="BN166" s="103"/>
      <c r="BO166" s="103"/>
      <c r="BP166" s="103"/>
      <c r="BQ166" s="103"/>
      <c r="BR166" s="103"/>
      <c r="BS166" s="103"/>
      <c r="BT166" s="103"/>
    </row>
    <row r="167" spans="1:72" ht="17.25" customHeight="1">
      <c r="A167" s="111"/>
      <c r="B167" s="111"/>
      <c r="C167" s="111"/>
      <c r="D167" s="111"/>
      <c r="E167" s="111"/>
      <c r="F167" s="111"/>
      <c r="G167" s="111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  <c r="BD167" s="103"/>
      <c r="BE167" s="103"/>
      <c r="BF167" s="103"/>
      <c r="BG167" s="103"/>
      <c r="BH167" s="103"/>
      <c r="BI167" s="103"/>
      <c r="BJ167" s="103"/>
      <c r="BK167" s="103"/>
      <c r="BL167" s="103"/>
      <c r="BM167" s="103"/>
      <c r="BN167" s="103"/>
      <c r="BO167" s="103"/>
      <c r="BP167" s="103"/>
      <c r="BQ167" s="103"/>
      <c r="BR167" s="103"/>
      <c r="BS167" s="103"/>
      <c r="BT167" s="103"/>
    </row>
    <row r="168" spans="1:72" ht="17.25" customHeight="1">
      <c r="A168" s="111"/>
      <c r="B168" s="111"/>
      <c r="C168" s="111"/>
      <c r="D168" s="111"/>
      <c r="E168" s="111"/>
      <c r="F168" s="111"/>
      <c r="G168" s="111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  <c r="BD168" s="103"/>
      <c r="BE168" s="103"/>
      <c r="BF168" s="103"/>
      <c r="BG168" s="103"/>
      <c r="BH168" s="103"/>
      <c r="BI168" s="103"/>
      <c r="BJ168" s="103"/>
      <c r="BK168" s="103"/>
      <c r="BL168" s="103"/>
      <c r="BM168" s="103"/>
      <c r="BN168" s="103"/>
      <c r="BO168" s="103"/>
      <c r="BP168" s="103"/>
      <c r="BQ168" s="103"/>
      <c r="BR168" s="103"/>
      <c r="BS168" s="103"/>
      <c r="BT168" s="103"/>
    </row>
    <row r="169" spans="1:72" ht="17.25" customHeight="1">
      <c r="A169" s="111"/>
      <c r="B169" s="111"/>
      <c r="C169" s="111"/>
      <c r="D169" s="111"/>
      <c r="E169" s="111"/>
      <c r="F169" s="111"/>
      <c r="G169" s="111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3"/>
      <c r="BJ169" s="103"/>
      <c r="BK169" s="103"/>
      <c r="BL169" s="103"/>
      <c r="BM169" s="103"/>
      <c r="BN169" s="103"/>
      <c r="BO169" s="103"/>
      <c r="BP169" s="103"/>
      <c r="BQ169" s="103"/>
      <c r="BR169" s="103"/>
      <c r="BS169" s="103"/>
      <c r="BT169" s="103"/>
    </row>
    <row r="170" spans="1:72" ht="17.25" customHeight="1">
      <c r="A170" s="111"/>
      <c r="B170" s="111"/>
      <c r="C170" s="111"/>
      <c r="D170" s="111"/>
      <c r="E170" s="111"/>
      <c r="F170" s="111"/>
      <c r="G170" s="111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  <c r="BD170" s="103"/>
      <c r="BE170" s="103"/>
      <c r="BF170" s="103"/>
      <c r="BG170" s="103"/>
      <c r="BH170" s="103"/>
      <c r="BI170" s="103"/>
      <c r="BJ170" s="103"/>
      <c r="BK170" s="103"/>
      <c r="BL170" s="103"/>
      <c r="BM170" s="103"/>
      <c r="BN170" s="103"/>
      <c r="BO170" s="103"/>
      <c r="BP170" s="103"/>
      <c r="BQ170" s="103"/>
      <c r="BR170" s="103"/>
      <c r="BS170" s="103"/>
      <c r="BT170" s="103"/>
    </row>
    <row r="171" spans="1:72" ht="17.25" customHeight="1">
      <c r="A171" s="111"/>
      <c r="B171" s="111"/>
      <c r="C171" s="111"/>
      <c r="D171" s="111"/>
      <c r="E171" s="111"/>
      <c r="F171" s="111"/>
      <c r="G171" s="111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  <c r="BD171" s="103"/>
      <c r="BE171" s="103"/>
      <c r="BF171" s="103"/>
      <c r="BG171" s="103"/>
      <c r="BH171" s="103"/>
      <c r="BI171" s="103"/>
      <c r="BJ171" s="103"/>
      <c r="BK171" s="103"/>
      <c r="BL171" s="103"/>
      <c r="BM171" s="103"/>
      <c r="BN171" s="103"/>
      <c r="BO171" s="103"/>
      <c r="BP171" s="103"/>
      <c r="BQ171" s="103"/>
      <c r="BR171" s="103"/>
      <c r="BS171" s="103"/>
      <c r="BT171" s="103"/>
    </row>
    <row r="172" spans="1:72" ht="17.25" customHeight="1">
      <c r="A172" s="111"/>
      <c r="B172" s="111"/>
      <c r="C172" s="111"/>
      <c r="D172" s="111"/>
      <c r="E172" s="111"/>
      <c r="F172" s="111"/>
      <c r="G172" s="111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  <c r="BD172" s="103"/>
      <c r="BE172" s="103"/>
      <c r="BF172" s="103"/>
      <c r="BG172" s="103"/>
      <c r="BH172" s="103"/>
      <c r="BI172" s="103"/>
      <c r="BJ172" s="103"/>
      <c r="BK172" s="103"/>
      <c r="BL172" s="103"/>
      <c r="BM172" s="103"/>
      <c r="BN172" s="103"/>
      <c r="BO172" s="103"/>
      <c r="BP172" s="103"/>
      <c r="BQ172" s="103"/>
      <c r="BR172" s="103"/>
      <c r="BS172" s="103"/>
      <c r="BT172" s="103"/>
    </row>
    <row r="173" spans="1:72" ht="17.25" customHeight="1">
      <c r="A173" s="111"/>
      <c r="B173" s="111"/>
      <c r="C173" s="111"/>
      <c r="D173" s="111"/>
      <c r="E173" s="111"/>
      <c r="F173" s="111"/>
      <c r="G173" s="111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  <c r="BD173" s="103"/>
      <c r="BE173" s="103"/>
      <c r="BF173" s="103"/>
      <c r="BG173" s="103"/>
      <c r="BH173" s="103"/>
      <c r="BI173" s="103"/>
      <c r="BJ173" s="103"/>
      <c r="BK173" s="103"/>
      <c r="BL173" s="103"/>
      <c r="BM173" s="103"/>
      <c r="BN173" s="103"/>
      <c r="BO173" s="103"/>
      <c r="BP173" s="103"/>
      <c r="BQ173" s="103"/>
      <c r="BR173" s="103"/>
      <c r="BS173" s="103"/>
      <c r="BT173" s="103"/>
    </row>
    <row r="174" spans="1:72" ht="17.25" customHeight="1">
      <c r="A174" s="111"/>
      <c r="B174" s="111"/>
      <c r="C174" s="111"/>
      <c r="D174" s="111"/>
      <c r="E174" s="111"/>
      <c r="F174" s="111"/>
      <c r="G174" s="111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  <c r="BD174" s="103"/>
      <c r="BE174" s="103"/>
      <c r="BF174" s="103"/>
      <c r="BG174" s="103"/>
      <c r="BH174" s="103"/>
      <c r="BI174" s="103"/>
      <c r="BJ174" s="103"/>
      <c r="BK174" s="103"/>
      <c r="BL174" s="103"/>
      <c r="BM174" s="103"/>
      <c r="BN174" s="103"/>
      <c r="BO174" s="103"/>
      <c r="BP174" s="103"/>
      <c r="BQ174" s="103"/>
      <c r="BR174" s="103"/>
      <c r="BS174" s="103"/>
      <c r="BT174" s="103"/>
    </row>
    <row r="175" spans="1:72" ht="17.25" customHeight="1">
      <c r="A175" s="111"/>
      <c r="B175" s="111"/>
      <c r="C175" s="111"/>
      <c r="D175" s="111"/>
      <c r="E175" s="111"/>
      <c r="F175" s="111"/>
      <c r="G175" s="111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  <c r="BD175" s="103"/>
      <c r="BE175" s="103"/>
      <c r="BF175" s="103"/>
      <c r="BG175" s="103"/>
      <c r="BH175" s="103"/>
      <c r="BI175" s="103"/>
      <c r="BJ175" s="103"/>
      <c r="BK175" s="103"/>
      <c r="BL175" s="103"/>
      <c r="BM175" s="103"/>
      <c r="BN175" s="103"/>
      <c r="BO175" s="103"/>
      <c r="BP175" s="103"/>
      <c r="BQ175" s="103"/>
      <c r="BR175" s="103"/>
      <c r="BS175" s="103"/>
      <c r="BT175" s="103"/>
    </row>
    <row r="176" spans="1:72" ht="17.25" customHeight="1">
      <c r="A176" s="111"/>
      <c r="B176" s="111"/>
      <c r="C176" s="111"/>
      <c r="D176" s="111"/>
      <c r="E176" s="111"/>
      <c r="F176" s="111"/>
      <c r="G176" s="111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  <c r="BD176" s="103"/>
      <c r="BE176" s="103"/>
      <c r="BF176" s="103"/>
      <c r="BG176" s="103"/>
      <c r="BH176" s="103"/>
      <c r="BI176" s="103"/>
      <c r="BJ176" s="103"/>
      <c r="BK176" s="103"/>
      <c r="BL176" s="103"/>
      <c r="BM176" s="103"/>
      <c r="BN176" s="103"/>
      <c r="BO176" s="103"/>
      <c r="BP176" s="103"/>
      <c r="BQ176" s="103"/>
      <c r="BR176" s="103"/>
      <c r="BS176" s="103"/>
      <c r="BT176" s="103"/>
    </row>
    <row r="177" spans="1:72" ht="17.25" customHeight="1">
      <c r="A177" s="111"/>
      <c r="B177" s="111"/>
      <c r="C177" s="111"/>
      <c r="D177" s="111"/>
      <c r="E177" s="111"/>
      <c r="F177" s="111"/>
      <c r="G177" s="111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03"/>
      <c r="BJ177" s="103"/>
      <c r="BK177" s="103"/>
      <c r="BL177" s="103"/>
      <c r="BM177" s="103"/>
      <c r="BN177" s="103"/>
      <c r="BO177" s="103"/>
      <c r="BP177" s="103"/>
      <c r="BQ177" s="103"/>
      <c r="BR177" s="103"/>
      <c r="BS177" s="103"/>
      <c r="BT177" s="103"/>
    </row>
    <row r="178" spans="1:72" ht="17.25" customHeight="1">
      <c r="A178" s="111"/>
      <c r="B178" s="111"/>
      <c r="C178" s="111"/>
      <c r="D178" s="111"/>
      <c r="E178" s="111"/>
      <c r="F178" s="111"/>
      <c r="G178" s="111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  <c r="BD178" s="103"/>
      <c r="BE178" s="103"/>
      <c r="BF178" s="103"/>
      <c r="BG178" s="103"/>
      <c r="BH178" s="103"/>
      <c r="BI178" s="103"/>
      <c r="BJ178" s="103"/>
      <c r="BK178" s="103"/>
      <c r="BL178" s="103"/>
      <c r="BM178" s="103"/>
      <c r="BN178" s="103"/>
      <c r="BO178" s="103"/>
      <c r="BP178" s="103"/>
      <c r="BQ178" s="103"/>
      <c r="BR178" s="103"/>
      <c r="BS178" s="103"/>
      <c r="BT178" s="103"/>
    </row>
    <row r="179" spans="1:72" ht="17.25" customHeight="1">
      <c r="A179" s="111"/>
      <c r="B179" s="111"/>
      <c r="C179" s="111"/>
      <c r="D179" s="111"/>
      <c r="E179" s="111"/>
      <c r="F179" s="111"/>
      <c r="G179" s="111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  <c r="BD179" s="103"/>
      <c r="BE179" s="103"/>
      <c r="BF179" s="103"/>
      <c r="BG179" s="103"/>
      <c r="BH179" s="103"/>
      <c r="BI179" s="103"/>
      <c r="BJ179" s="103"/>
      <c r="BK179" s="103"/>
      <c r="BL179" s="103"/>
      <c r="BM179" s="103"/>
      <c r="BN179" s="103"/>
      <c r="BO179" s="103"/>
      <c r="BP179" s="103"/>
      <c r="BQ179" s="103"/>
      <c r="BR179" s="103"/>
      <c r="BS179" s="103"/>
      <c r="BT179" s="103"/>
    </row>
    <row r="180" spans="1:72" ht="17.25" customHeight="1">
      <c r="A180" s="111"/>
      <c r="B180" s="111"/>
      <c r="C180" s="111"/>
      <c r="D180" s="111"/>
      <c r="E180" s="111"/>
      <c r="F180" s="111"/>
      <c r="G180" s="111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  <c r="BD180" s="103"/>
      <c r="BE180" s="103"/>
      <c r="BF180" s="103"/>
      <c r="BG180" s="103"/>
      <c r="BH180" s="103"/>
      <c r="BI180" s="103"/>
      <c r="BJ180" s="103"/>
      <c r="BK180" s="103"/>
      <c r="BL180" s="103"/>
      <c r="BM180" s="103"/>
      <c r="BN180" s="103"/>
      <c r="BO180" s="103"/>
      <c r="BP180" s="103"/>
      <c r="BQ180" s="103"/>
      <c r="BR180" s="103"/>
      <c r="BS180" s="103"/>
      <c r="BT180" s="103"/>
    </row>
    <row r="181" spans="1:72" ht="17.25" customHeight="1">
      <c r="A181" s="111"/>
      <c r="B181" s="111"/>
      <c r="C181" s="111"/>
      <c r="D181" s="111"/>
      <c r="E181" s="111"/>
      <c r="F181" s="111"/>
      <c r="G181" s="111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  <c r="BD181" s="103"/>
      <c r="BE181" s="103"/>
      <c r="BF181" s="103"/>
      <c r="BG181" s="103"/>
      <c r="BH181" s="103"/>
      <c r="BI181" s="103"/>
      <c r="BJ181" s="103"/>
      <c r="BK181" s="103"/>
      <c r="BL181" s="103"/>
      <c r="BM181" s="103"/>
      <c r="BN181" s="103"/>
      <c r="BO181" s="103"/>
      <c r="BP181" s="103"/>
      <c r="BQ181" s="103"/>
      <c r="BR181" s="103"/>
      <c r="BS181" s="103"/>
      <c r="BT181" s="103"/>
    </row>
    <row r="182" spans="1:72" ht="17.25" customHeight="1">
      <c r="A182" s="111"/>
      <c r="B182" s="111"/>
      <c r="C182" s="111"/>
      <c r="D182" s="111"/>
      <c r="E182" s="111"/>
      <c r="F182" s="111"/>
      <c r="G182" s="111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  <c r="BD182" s="103"/>
      <c r="BE182" s="103"/>
      <c r="BF182" s="103"/>
      <c r="BG182" s="103"/>
      <c r="BH182" s="103"/>
      <c r="BI182" s="103"/>
      <c r="BJ182" s="103"/>
      <c r="BK182" s="103"/>
      <c r="BL182" s="103"/>
      <c r="BM182" s="103"/>
      <c r="BN182" s="103"/>
      <c r="BO182" s="103"/>
      <c r="BP182" s="103"/>
      <c r="BQ182" s="103"/>
      <c r="BR182" s="103"/>
      <c r="BS182" s="103"/>
      <c r="BT182" s="103"/>
    </row>
    <row r="183" spans="1:72" ht="17.25" customHeight="1">
      <c r="A183" s="111"/>
      <c r="B183" s="111"/>
      <c r="C183" s="111"/>
      <c r="D183" s="111"/>
      <c r="E183" s="111"/>
      <c r="F183" s="111"/>
      <c r="G183" s="111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  <c r="BD183" s="103"/>
      <c r="BE183" s="103"/>
      <c r="BF183" s="103"/>
      <c r="BG183" s="103"/>
      <c r="BH183" s="103"/>
      <c r="BI183" s="103"/>
      <c r="BJ183" s="103"/>
      <c r="BK183" s="103"/>
      <c r="BL183" s="103"/>
      <c r="BM183" s="103"/>
      <c r="BN183" s="103"/>
      <c r="BO183" s="103"/>
      <c r="BP183" s="103"/>
      <c r="BQ183" s="103"/>
      <c r="BR183" s="103"/>
      <c r="BS183" s="103"/>
      <c r="BT183" s="103"/>
    </row>
    <row r="184" spans="1:72" ht="17.25" customHeight="1">
      <c r="A184" s="111"/>
      <c r="B184" s="111"/>
      <c r="C184" s="111"/>
      <c r="D184" s="111"/>
      <c r="E184" s="111"/>
      <c r="F184" s="111"/>
      <c r="G184" s="111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  <c r="BD184" s="103"/>
      <c r="BE184" s="103"/>
      <c r="BF184" s="103"/>
      <c r="BG184" s="103"/>
      <c r="BH184" s="103"/>
      <c r="BI184" s="103"/>
      <c r="BJ184" s="103"/>
      <c r="BK184" s="103"/>
      <c r="BL184" s="103"/>
      <c r="BM184" s="103"/>
      <c r="BN184" s="103"/>
      <c r="BO184" s="103"/>
      <c r="BP184" s="103"/>
      <c r="BQ184" s="103"/>
      <c r="BR184" s="103"/>
      <c r="BS184" s="103"/>
      <c r="BT184" s="103"/>
    </row>
    <row r="185" spans="1:72" ht="17.25" customHeight="1">
      <c r="A185" s="111"/>
      <c r="B185" s="111"/>
      <c r="C185" s="111"/>
      <c r="D185" s="111"/>
      <c r="E185" s="111"/>
      <c r="F185" s="111"/>
      <c r="G185" s="111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  <c r="BD185" s="103"/>
      <c r="BE185" s="103"/>
      <c r="BF185" s="103"/>
      <c r="BG185" s="103"/>
      <c r="BH185" s="103"/>
      <c r="BI185" s="103"/>
      <c r="BJ185" s="103"/>
      <c r="BK185" s="103"/>
      <c r="BL185" s="103"/>
      <c r="BM185" s="103"/>
      <c r="BN185" s="103"/>
      <c r="BO185" s="103"/>
      <c r="BP185" s="103"/>
      <c r="BQ185" s="103"/>
      <c r="BR185" s="103"/>
      <c r="BS185" s="103"/>
      <c r="BT185" s="103"/>
    </row>
    <row r="186" spans="1:72" ht="17.25" customHeight="1">
      <c r="A186" s="111"/>
      <c r="B186" s="111"/>
      <c r="C186" s="111"/>
      <c r="D186" s="111"/>
      <c r="E186" s="111"/>
      <c r="F186" s="111"/>
      <c r="G186" s="111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  <c r="BD186" s="103"/>
      <c r="BE186" s="103"/>
      <c r="BF186" s="103"/>
      <c r="BG186" s="103"/>
      <c r="BH186" s="103"/>
      <c r="BI186" s="103"/>
      <c r="BJ186" s="103"/>
      <c r="BK186" s="103"/>
      <c r="BL186" s="103"/>
      <c r="BM186" s="103"/>
      <c r="BN186" s="103"/>
      <c r="BO186" s="103"/>
      <c r="BP186" s="103"/>
      <c r="BQ186" s="103"/>
      <c r="BR186" s="103"/>
      <c r="BS186" s="103"/>
      <c r="BT186" s="103"/>
    </row>
    <row r="187" spans="1:72" ht="17.25" customHeight="1">
      <c r="A187" s="111"/>
      <c r="B187" s="111"/>
      <c r="C187" s="111"/>
      <c r="D187" s="111"/>
      <c r="E187" s="111"/>
      <c r="F187" s="111"/>
      <c r="G187" s="111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  <c r="BD187" s="103"/>
      <c r="BE187" s="103"/>
      <c r="BF187" s="103"/>
      <c r="BG187" s="103"/>
      <c r="BH187" s="103"/>
      <c r="BI187" s="103"/>
      <c r="BJ187" s="103"/>
      <c r="BK187" s="103"/>
      <c r="BL187" s="103"/>
      <c r="BM187" s="103"/>
      <c r="BN187" s="103"/>
      <c r="BO187" s="103"/>
      <c r="BP187" s="103"/>
      <c r="BQ187" s="103"/>
      <c r="BR187" s="103"/>
      <c r="BS187" s="103"/>
      <c r="BT187" s="103"/>
    </row>
    <row r="188" spans="1:72" ht="17.25" customHeight="1">
      <c r="A188" s="111"/>
      <c r="B188" s="111"/>
      <c r="C188" s="111"/>
      <c r="D188" s="111"/>
      <c r="E188" s="111"/>
      <c r="F188" s="111"/>
      <c r="G188" s="111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  <c r="BD188" s="103"/>
      <c r="BE188" s="103"/>
      <c r="BF188" s="103"/>
      <c r="BG188" s="103"/>
      <c r="BH188" s="103"/>
      <c r="BI188" s="103"/>
      <c r="BJ188" s="103"/>
      <c r="BK188" s="103"/>
      <c r="BL188" s="103"/>
      <c r="BM188" s="103"/>
      <c r="BN188" s="103"/>
      <c r="BO188" s="103"/>
      <c r="BP188" s="103"/>
      <c r="BQ188" s="103"/>
      <c r="BR188" s="103"/>
      <c r="BS188" s="103"/>
      <c r="BT188" s="103"/>
    </row>
    <row r="189" spans="1:72" ht="17.25" customHeight="1">
      <c r="A189" s="111"/>
      <c r="B189" s="111"/>
      <c r="C189" s="111"/>
      <c r="D189" s="111"/>
      <c r="E189" s="111"/>
      <c r="F189" s="111"/>
      <c r="G189" s="111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  <c r="BD189" s="103"/>
      <c r="BE189" s="103"/>
      <c r="BF189" s="103"/>
      <c r="BG189" s="103"/>
      <c r="BH189" s="103"/>
      <c r="BI189" s="103"/>
      <c r="BJ189" s="103"/>
      <c r="BK189" s="103"/>
      <c r="BL189" s="103"/>
      <c r="BM189" s="103"/>
      <c r="BN189" s="103"/>
      <c r="BO189" s="103"/>
      <c r="BP189" s="103"/>
      <c r="BQ189" s="103"/>
      <c r="BR189" s="103"/>
      <c r="BS189" s="103"/>
      <c r="BT189" s="103"/>
    </row>
    <row r="190" spans="1:72" ht="17.25" customHeight="1">
      <c r="A190" s="111"/>
      <c r="B190" s="111"/>
      <c r="C190" s="111"/>
      <c r="D190" s="111"/>
      <c r="E190" s="111"/>
      <c r="F190" s="111"/>
      <c r="G190" s="111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  <c r="BD190" s="103"/>
      <c r="BE190" s="103"/>
      <c r="BF190" s="103"/>
      <c r="BG190" s="103"/>
      <c r="BH190" s="103"/>
      <c r="BI190" s="103"/>
      <c r="BJ190" s="103"/>
      <c r="BK190" s="103"/>
      <c r="BL190" s="103"/>
      <c r="BM190" s="103"/>
      <c r="BN190" s="103"/>
      <c r="BO190" s="103"/>
      <c r="BP190" s="103"/>
      <c r="BQ190" s="103"/>
      <c r="BR190" s="103"/>
      <c r="BS190" s="103"/>
      <c r="BT190" s="103"/>
    </row>
    <row r="191" spans="1:72" ht="17.25" customHeight="1">
      <c r="A191" s="111"/>
      <c r="B191" s="111"/>
      <c r="C191" s="111"/>
      <c r="D191" s="111"/>
      <c r="E191" s="111"/>
      <c r="F191" s="111"/>
      <c r="G191" s="111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  <c r="BD191" s="103"/>
      <c r="BE191" s="103"/>
      <c r="BF191" s="103"/>
      <c r="BG191" s="103"/>
      <c r="BH191" s="103"/>
      <c r="BI191" s="103"/>
      <c r="BJ191" s="103"/>
      <c r="BK191" s="103"/>
      <c r="BL191" s="103"/>
      <c r="BM191" s="103"/>
      <c r="BN191" s="103"/>
      <c r="BO191" s="103"/>
      <c r="BP191" s="103"/>
      <c r="BQ191" s="103"/>
      <c r="BR191" s="103"/>
      <c r="BS191" s="103"/>
      <c r="BT191" s="103"/>
    </row>
    <row r="192" spans="1:72" ht="17.25" customHeight="1">
      <c r="A192" s="111"/>
      <c r="B192" s="111"/>
      <c r="C192" s="111"/>
      <c r="D192" s="111"/>
      <c r="E192" s="111"/>
      <c r="F192" s="111"/>
      <c r="G192" s="111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  <c r="BD192" s="103"/>
      <c r="BE192" s="103"/>
      <c r="BF192" s="103"/>
      <c r="BG192" s="103"/>
      <c r="BH192" s="103"/>
      <c r="BI192" s="103"/>
      <c r="BJ192" s="103"/>
      <c r="BK192" s="103"/>
      <c r="BL192" s="103"/>
      <c r="BM192" s="103"/>
      <c r="BN192" s="103"/>
      <c r="BO192" s="103"/>
      <c r="BP192" s="103"/>
      <c r="BQ192" s="103"/>
      <c r="BR192" s="103"/>
      <c r="BS192" s="103"/>
      <c r="BT192" s="103"/>
    </row>
    <row r="193" spans="1:72" ht="17.25" customHeight="1">
      <c r="A193" s="111"/>
      <c r="B193" s="111"/>
      <c r="C193" s="111"/>
      <c r="D193" s="111"/>
      <c r="E193" s="111"/>
      <c r="F193" s="111"/>
      <c r="G193" s="111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  <c r="BD193" s="103"/>
      <c r="BE193" s="103"/>
      <c r="BF193" s="103"/>
      <c r="BG193" s="103"/>
      <c r="BH193" s="103"/>
      <c r="BI193" s="103"/>
      <c r="BJ193" s="103"/>
      <c r="BK193" s="103"/>
      <c r="BL193" s="103"/>
      <c r="BM193" s="103"/>
      <c r="BN193" s="103"/>
      <c r="BO193" s="103"/>
      <c r="BP193" s="103"/>
      <c r="BQ193" s="103"/>
      <c r="BR193" s="103"/>
      <c r="BS193" s="103"/>
      <c r="BT193" s="103"/>
    </row>
    <row r="194" spans="1:72" ht="17.25" customHeight="1">
      <c r="A194" s="111"/>
      <c r="B194" s="111"/>
      <c r="C194" s="111"/>
      <c r="D194" s="111"/>
      <c r="E194" s="111"/>
      <c r="F194" s="111"/>
      <c r="G194" s="111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  <c r="BD194" s="103"/>
      <c r="BE194" s="103"/>
      <c r="BF194" s="103"/>
      <c r="BG194" s="103"/>
      <c r="BH194" s="103"/>
      <c r="BI194" s="103"/>
      <c r="BJ194" s="103"/>
      <c r="BK194" s="103"/>
      <c r="BL194" s="103"/>
      <c r="BM194" s="103"/>
      <c r="BN194" s="103"/>
      <c r="BO194" s="103"/>
      <c r="BP194" s="103"/>
      <c r="BQ194" s="103"/>
      <c r="BR194" s="103"/>
      <c r="BS194" s="103"/>
      <c r="BT194" s="103"/>
    </row>
    <row r="195" spans="1:72" ht="17.25" customHeight="1">
      <c r="A195" s="111"/>
      <c r="B195" s="111"/>
      <c r="C195" s="111"/>
      <c r="D195" s="111"/>
      <c r="E195" s="111"/>
      <c r="F195" s="111"/>
      <c r="G195" s="111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  <c r="BD195" s="103"/>
      <c r="BE195" s="103"/>
      <c r="BF195" s="103"/>
      <c r="BG195" s="103"/>
      <c r="BH195" s="103"/>
      <c r="BI195" s="103"/>
      <c r="BJ195" s="103"/>
      <c r="BK195" s="103"/>
      <c r="BL195" s="103"/>
      <c r="BM195" s="103"/>
      <c r="BN195" s="103"/>
      <c r="BO195" s="103"/>
      <c r="BP195" s="103"/>
      <c r="BQ195" s="103"/>
      <c r="BR195" s="103"/>
      <c r="BS195" s="103"/>
      <c r="BT195" s="103"/>
    </row>
    <row r="196" spans="1:72" ht="17.25" customHeight="1">
      <c r="A196" s="111"/>
      <c r="B196" s="111"/>
      <c r="C196" s="111"/>
      <c r="D196" s="111"/>
      <c r="E196" s="111"/>
      <c r="F196" s="111"/>
      <c r="G196" s="111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  <c r="BD196" s="103"/>
      <c r="BE196" s="103"/>
      <c r="BF196" s="103"/>
      <c r="BG196" s="103"/>
      <c r="BH196" s="103"/>
      <c r="BI196" s="103"/>
      <c r="BJ196" s="103"/>
      <c r="BK196" s="103"/>
      <c r="BL196" s="103"/>
      <c r="BM196" s="103"/>
      <c r="BN196" s="103"/>
      <c r="BO196" s="103"/>
      <c r="BP196" s="103"/>
      <c r="BQ196" s="103"/>
      <c r="BR196" s="103"/>
      <c r="BS196" s="103"/>
      <c r="BT196" s="103"/>
    </row>
    <row r="197" spans="1:72" ht="17.25" customHeight="1">
      <c r="A197" s="111"/>
      <c r="B197" s="111"/>
      <c r="C197" s="111"/>
      <c r="D197" s="111"/>
      <c r="E197" s="111"/>
      <c r="F197" s="111"/>
      <c r="G197" s="111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  <c r="BD197" s="103"/>
      <c r="BE197" s="103"/>
      <c r="BF197" s="103"/>
      <c r="BG197" s="103"/>
      <c r="BH197" s="103"/>
      <c r="BI197" s="103"/>
      <c r="BJ197" s="103"/>
      <c r="BK197" s="103"/>
      <c r="BL197" s="103"/>
      <c r="BM197" s="103"/>
      <c r="BN197" s="103"/>
      <c r="BO197" s="103"/>
      <c r="BP197" s="103"/>
      <c r="BQ197" s="103"/>
      <c r="BR197" s="103"/>
      <c r="BS197" s="103"/>
      <c r="BT197" s="103"/>
    </row>
    <row r="198" spans="1:72" ht="17.25" customHeight="1">
      <c r="A198" s="111"/>
      <c r="B198" s="111"/>
      <c r="C198" s="111"/>
      <c r="D198" s="111"/>
      <c r="E198" s="111"/>
      <c r="F198" s="111"/>
      <c r="G198" s="111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  <c r="BD198" s="103"/>
      <c r="BE198" s="103"/>
      <c r="BF198" s="103"/>
      <c r="BG198" s="103"/>
      <c r="BH198" s="103"/>
      <c r="BI198" s="103"/>
      <c r="BJ198" s="103"/>
      <c r="BK198" s="103"/>
      <c r="BL198" s="103"/>
      <c r="BM198" s="103"/>
      <c r="BN198" s="103"/>
      <c r="BO198" s="103"/>
      <c r="BP198" s="103"/>
      <c r="BQ198" s="103"/>
      <c r="BR198" s="103"/>
      <c r="BS198" s="103"/>
      <c r="BT198" s="103"/>
    </row>
    <row r="199" spans="1:72" ht="17.25" customHeight="1">
      <c r="A199" s="111"/>
      <c r="B199" s="111"/>
      <c r="C199" s="111"/>
      <c r="D199" s="111"/>
      <c r="E199" s="111"/>
      <c r="F199" s="111"/>
      <c r="G199" s="111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  <c r="BD199" s="103"/>
      <c r="BE199" s="103"/>
      <c r="BF199" s="103"/>
      <c r="BG199" s="103"/>
      <c r="BH199" s="103"/>
      <c r="BI199" s="103"/>
      <c r="BJ199" s="103"/>
      <c r="BK199" s="103"/>
      <c r="BL199" s="103"/>
      <c r="BM199" s="103"/>
      <c r="BN199" s="103"/>
      <c r="BO199" s="103"/>
      <c r="BP199" s="103"/>
      <c r="BQ199" s="103"/>
      <c r="BR199" s="103"/>
      <c r="BS199" s="103"/>
      <c r="BT199" s="103"/>
    </row>
    <row r="200" spans="1:72" ht="17.25" customHeight="1">
      <c r="A200" s="111"/>
      <c r="B200" s="111"/>
      <c r="C200" s="111"/>
      <c r="D200" s="111"/>
      <c r="E200" s="111"/>
      <c r="F200" s="111"/>
      <c r="G200" s="111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  <c r="BD200" s="103"/>
      <c r="BE200" s="103"/>
      <c r="BF200" s="103"/>
      <c r="BG200" s="103"/>
      <c r="BH200" s="103"/>
      <c r="BI200" s="103"/>
      <c r="BJ200" s="103"/>
      <c r="BK200" s="103"/>
      <c r="BL200" s="103"/>
      <c r="BM200" s="103"/>
      <c r="BN200" s="103"/>
      <c r="BO200" s="103"/>
      <c r="BP200" s="103"/>
      <c r="BQ200" s="103"/>
      <c r="BR200" s="103"/>
      <c r="BS200" s="103"/>
      <c r="BT200" s="103"/>
    </row>
    <row r="201" spans="1:72" ht="17.25" customHeight="1">
      <c r="A201" s="111"/>
      <c r="B201" s="111"/>
      <c r="C201" s="111"/>
      <c r="D201" s="111"/>
      <c r="E201" s="111"/>
      <c r="F201" s="111"/>
      <c r="G201" s="111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  <c r="BD201" s="103"/>
      <c r="BE201" s="103"/>
      <c r="BF201" s="103"/>
      <c r="BG201" s="103"/>
      <c r="BH201" s="103"/>
      <c r="BI201" s="103"/>
      <c r="BJ201" s="103"/>
      <c r="BK201" s="103"/>
      <c r="BL201" s="103"/>
      <c r="BM201" s="103"/>
      <c r="BN201" s="103"/>
      <c r="BO201" s="103"/>
      <c r="BP201" s="103"/>
      <c r="BQ201" s="103"/>
      <c r="BR201" s="103"/>
      <c r="BS201" s="103"/>
      <c r="BT201" s="103"/>
    </row>
    <row r="202" spans="1:72" ht="17.25" customHeight="1">
      <c r="A202" s="111"/>
      <c r="B202" s="111"/>
      <c r="C202" s="111"/>
      <c r="D202" s="111"/>
      <c r="E202" s="111"/>
      <c r="F202" s="111"/>
      <c r="G202" s="111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  <c r="BD202" s="103"/>
      <c r="BE202" s="103"/>
      <c r="BF202" s="103"/>
      <c r="BG202" s="103"/>
      <c r="BH202" s="103"/>
      <c r="BI202" s="103"/>
      <c r="BJ202" s="103"/>
      <c r="BK202" s="103"/>
      <c r="BL202" s="103"/>
      <c r="BM202" s="103"/>
      <c r="BN202" s="103"/>
      <c r="BO202" s="103"/>
      <c r="BP202" s="103"/>
      <c r="BQ202" s="103"/>
      <c r="BR202" s="103"/>
      <c r="BS202" s="103"/>
      <c r="BT202" s="103"/>
    </row>
    <row r="203" spans="1:72" ht="17.25" customHeight="1">
      <c r="A203" s="111"/>
      <c r="B203" s="111"/>
      <c r="C203" s="111"/>
      <c r="D203" s="111"/>
      <c r="E203" s="111"/>
      <c r="F203" s="111"/>
      <c r="G203" s="111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  <c r="BD203" s="103"/>
      <c r="BE203" s="103"/>
      <c r="BF203" s="103"/>
      <c r="BG203" s="103"/>
      <c r="BH203" s="103"/>
      <c r="BI203" s="103"/>
      <c r="BJ203" s="103"/>
      <c r="BK203" s="103"/>
      <c r="BL203" s="103"/>
      <c r="BM203" s="103"/>
      <c r="BN203" s="103"/>
      <c r="BO203" s="103"/>
      <c r="BP203" s="103"/>
      <c r="BQ203" s="103"/>
      <c r="BR203" s="103"/>
      <c r="BS203" s="103"/>
      <c r="BT203" s="103"/>
    </row>
    <row r="204" spans="1:72" ht="17.25" customHeight="1">
      <c r="A204" s="111"/>
      <c r="B204" s="111"/>
      <c r="C204" s="111"/>
      <c r="D204" s="111"/>
      <c r="E204" s="111"/>
      <c r="F204" s="111"/>
      <c r="G204" s="111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  <c r="BD204" s="103"/>
      <c r="BE204" s="103"/>
      <c r="BF204" s="103"/>
      <c r="BG204" s="103"/>
      <c r="BH204" s="103"/>
      <c r="BI204" s="103"/>
      <c r="BJ204" s="103"/>
      <c r="BK204" s="103"/>
      <c r="BL204" s="103"/>
      <c r="BM204" s="103"/>
      <c r="BN204" s="103"/>
      <c r="BO204" s="103"/>
      <c r="BP204" s="103"/>
      <c r="BQ204" s="103"/>
      <c r="BR204" s="103"/>
      <c r="BS204" s="103"/>
      <c r="BT204" s="103"/>
    </row>
    <row r="205" spans="1:72" ht="17.25" customHeight="1">
      <c r="A205" s="111"/>
      <c r="B205" s="111"/>
      <c r="C205" s="111"/>
      <c r="D205" s="111"/>
      <c r="E205" s="111"/>
      <c r="F205" s="111"/>
      <c r="G205" s="111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  <c r="BD205" s="103"/>
      <c r="BE205" s="103"/>
      <c r="BF205" s="103"/>
      <c r="BG205" s="103"/>
      <c r="BH205" s="103"/>
      <c r="BI205" s="103"/>
      <c r="BJ205" s="103"/>
      <c r="BK205" s="103"/>
      <c r="BL205" s="103"/>
      <c r="BM205" s="103"/>
      <c r="BN205" s="103"/>
      <c r="BO205" s="103"/>
      <c r="BP205" s="103"/>
      <c r="BQ205" s="103"/>
      <c r="BR205" s="103"/>
      <c r="BS205" s="103"/>
      <c r="BT205" s="103"/>
    </row>
    <row r="206" spans="1:72" ht="17.25" customHeight="1">
      <c r="A206" s="111"/>
      <c r="B206" s="111"/>
      <c r="C206" s="111"/>
      <c r="D206" s="111"/>
      <c r="E206" s="111"/>
      <c r="F206" s="111"/>
      <c r="G206" s="111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  <c r="BD206" s="103"/>
      <c r="BE206" s="103"/>
      <c r="BF206" s="103"/>
      <c r="BG206" s="103"/>
      <c r="BH206" s="103"/>
      <c r="BI206" s="103"/>
      <c r="BJ206" s="103"/>
      <c r="BK206" s="103"/>
      <c r="BL206" s="103"/>
      <c r="BM206" s="103"/>
      <c r="BN206" s="103"/>
      <c r="BO206" s="103"/>
      <c r="BP206" s="103"/>
      <c r="BQ206" s="103"/>
      <c r="BR206" s="103"/>
      <c r="BS206" s="103"/>
      <c r="BT206" s="103"/>
    </row>
    <row r="207" spans="1:72" ht="17.25" customHeight="1">
      <c r="A207" s="111"/>
      <c r="B207" s="111"/>
      <c r="C207" s="111"/>
      <c r="D207" s="111"/>
      <c r="E207" s="111"/>
      <c r="F207" s="111"/>
      <c r="G207" s="111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  <c r="BD207" s="103"/>
      <c r="BE207" s="103"/>
      <c r="BF207" s="103"/>
      <c r="BG207" s="103"/>
      <c r="BH207" s="103"/>
      <c r="BI207" s="103"/>
      <c r="BJ207" s="103"/>
      <c r="BK207" s="103"/>
      <c r="BL207" s="103"/>
      <c r="BM207" s="103"/>
      <c r="BN207" s="103"/>
      <c r="BO207" s="103"/>
      <c r="BP207" s="103"/>
      <c r="BQ207" s="103"/>
      <c r="BR207" s="103"/>
      <c r="BS207" s="103"/>
      <c r="BT207" s="103"/>
    </row>
    <row r="208" spans="1:72" ht="17.25" customHeight="1">
      <c r="A208" s="111"/>
      <c r="B208" s="111"/>
      <c r="C208" s="111"/>
      <c r="D208" s="111"/>
      <c r="E208" s="111"/>
      <c r="F208" s="111"/>
      <c r="G208" s="111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  <c r="BD208" s="103"/>
      <c r="BE208" s="103"/>
      <c r="BF208" s="103"/>
      <c r="BG208" s="103"/>
      <c r="BH208" s="103"/>
      <c r="BI208" s="103"/>
      <c r="BJ208" s="103"/>
      <c r="BK208" s="103"/>
      <c r="BL208" s="103"/>
      <c r="BM208" s="103"/>
      <c r="BN208" s="103"/>
      <c r="BO208" s="103"/>
      <c r="BP208" s="103"/>
      <c r="BQ208" s="103"/>
      <c r="BR208" s="103"/>
      <c r="BS208" s="103"/>
      <c r="BT208" s="103"/>
    </row>
    <row r="209" spans="1:72" ht="17.25" customHeight="1">
      <c r="A209" s="111"/>
      <c r="B209" s="111"/>
      <c r="C209" s="111"/>
      <c r="D209" s="111"/>
      <c r="E209" s="111"/>
      <c r="F209" s="111"/>
      <c r="G209" s="111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  <c r="BD209" s="103"/>
      <c r="BE209" s="103"/>
      <c r="BF209" s="103"/>
      <c r="BG209" s="103"/>
      <c r="BH209" s="103"/>
      <c r="BI209" s="103"/>
      <c r="BJ209" s="103"/>
      <c r="BK209" s="103"/>
      <c r="BL209" s="103"/>
      <c r="BM209" s="103"/>
      <c r="BN209" s="103"/>
      <c r="BO209" s="103"/>
      <c r="BP209" s="103"/>
      <c r="BQ209" s="103"/>
      <c r="BR209" s="103"/>
      <c r="BS209" s="103"/>
      <c r="BT209" s="103"/>
    </row>
    <row r="210" spans="1:72" ht="17.25" customHeight="1">
      <c r="A210" s="111"/>
      <c r="B210" s="111"/>
      <c r="C210" s="111"/>
      <c r="D210" s="111"/>
      <c r="E210" s="111"/>
      <c r="F210" s="111"/>
      <c r="G210" s="111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  <c r="BD210" s="103"/>
      <c r="BE210" s="103"/>
      <c r="BF210" s="103"/>
      <c r="BG210" s="103"/>
      <c r="BH210" s="103"/>
      <c r="BI210" s="103"/>
      <c r="BJ210" s="103"/>
      <c r="BK210" s="103"/>
      <c r="BL210" s="103"/>
      <c r="BM210" s="103"/>
      <c r="BN210" s="103"/>
      <c r="BO210" s="103"/>
      <c r="BP210" s="103"/>
      <c r="BQ210" s="103"/>
      <c r="BR210" s="103"/>
      <c r="BS210" s="103"/>
      <c r="BT210" s="103"/>
    </row>
    <row r="211" spans="1:72" ht="17.25" customHeight="1">
      <c r="A211" s="111"/>
      <c r="B211" s="111"/>
      <c r="C211" s="111"/>
      <c r="D211" s="111"/>
      <c r="E211" s="111"/>
      <c r="F211" s="111"/>
      <c r="G211" s="111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  <c r="BD211" s="103"/>
      <c r="BE211" s="103"/>
      <c r="BF211" s="103"/>
      <c r="BG211" s="103"/>
      <c r="BH211" s="103"/>
      <c r="BI211" s="103"/>
      <c r="BJ211" s="103"/>
      <c r="BK211" s="103"/>
      <c r="BL211" s="103"/>
      <c r="BM211" s="103"/>
      <c r="BN211" s="103"/>
      <c r="BO211" s="103"/>
      <c r="BP211" s="103"/>
      <c r="BQ211" s="103"/>
      <c r="BR211" s="103"/>
      <c r="BS211" s="103"/>
      <c r="BT211" s="103"/>
    </row>
    <row r="212" spans="1:72" ht="17.25" customHeight="1">
      <c r="A212" s="111"/>
      <c r="B212" s="111"/>
      <c r="C212" s="111"/>
      <c r="D212" s="111"/>
      <c r="E212" s="111"/>
      <c r="F212" s="111"/>
      <c r="G212" s="111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  <c r="BD212" s="103"/>
      <c r="BE212" s="103"/>
      <c r="BF212" s="103"/>
      <c r="BG212" s="103"/>
      <c r="BH212" s="103"/>
      <c r="BI212" s="103"/>
      <c r="BJ212" s="103"/>
      <c r="BK212" s="103"/>
      <c r="BL212" s="103"/>
      <c r="BM212" s="103"/>
      <c r="BN212" s="103"/>
      <c r="BO212" s="103"/>
      <c r="BP212" s="103"/>
      <c r="BQ212" s="103"/>
      <c r="BR212" s="103"/>
      <c r="BS212" s="103"/>
      <c r="BT212" s="103" t="s">
        <v>69</v>
      </c>
    </row>
  </sheetData>
  <mergeCells count="4">
    <mergeCell ref="A6:A7"/>
    <mergeCell ref="A4:G4"/>
    <mergeCell ref="A3:G3"/>
    <mergeCell ref="A2:G2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  <ignoredErrors>
    <ignoredError sqref="D32:D3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14.6640625" style="368" customWidth="1"/>
    <col min="2" max="7" width="20.1640625" style="368" customWidth="1"/>
    <col min="8" max="16384" width="9.1640625" style="369"/>
  </cols>
  <sheetData>
    <row r="1" spans="1:9" s="357" customFormat="1" ht="17.25" customHeight="1">
      <c r="A1" s="356"/>
      <c r="B1" s="356"/>
      <c r="C1" s="356"/>
      <c r="D1" s="356"/>
      <c r="E1" s="356"/>
      <c r="F1" s="356"/>
      <c r="G1" s="356"/>
    </row>
    <row r="2" spans="1:9" s="357" customFormat="1" ht="17.25" customHeight="1">
      <c r="A2" s="612" t="s">
        <v>221</v>
      </c>
      <c r="B2" s="612"/>
      <c r="C2" s="612"/>
      <c r="D2" s="612"/>
      <c r="E2" s="612"/>
      <c r="F2" s="612"/>
      <c r="G2" s="612"/>
    </row>
    <row r="3" spans="1:9" s="357" customFormat="1" ht="17.25" customHeight="1">
      <c r="A3" s="612" t="s">
        <v>275</v>
      </c>
      <c r="B3" s="612"/>
      <c r="C3" s="612"/>
      <c r="D3" s="612"/>
      <c r="E3" s="612"/>
      <c r="F3" s="612"/>
      <c r="G3" s="612"/>
    </row>
    <row r="4" spans="1:9" s="357" customFormat="1" ht="17.25" customHeight="1">
      <c r="A4" s="612" t="s">
        <v>14</v>
      </c>
      <c r="B4" s="612"/>
      <c r="C4" s="612"/>
      <c r="D4" s="612"/>
      <c r="E4" s="612"/>
      <c r="F4" s="612"/>
      <c r="G4" s="612"/>
    </row>
    <row r="5" spans="1:9" s="357" customFormat="1" ht="17.25" customHeight="1">
      <c r="A5" s="356"/>
      <c r="B5" s="356"/>
      <c r="C5" s="356"/>
      <c r="D5" s="356"/>
      <c r="E5" s="356"/>
      <c r="F5" s="356"/>
      <c r="G5" s="356"/>
    </row>
    <row r="6" spans="1:9" s="357" customFormat="1" ht="17.25" customHeight="1">
      <c r="A6" s="358" t="s">
        <v>60</v>
      </c>
      <c r="B6" s="359" t="s">
        <v>167</v>
      </c>
      <c r="C6" s="360" t="s">
        <v>168</v>
      </c>
      <c r="D6" s="359" t="s">
        <v>169</v>
      </c>
      <c r="E6" s="360" t="s">
        <v>170</v>
      </c>
      <c r="F6" s="359" t="s">
        <v>249</v>
      </c>
      <c r="G6" s="361" t="s">
        <v>171</v>
      </c>
    </row>
    <row r="7" spans="1:9" s="357" customFormat="1" ht="17.25" hidden="1" customHeight="1">
      <c r="A7" s="362">
        <v>2002</v>
      </c>
      <c r="B7" s="363">
        <v>15524</v>
      </c>
      <c r="C7" s="364">
        <v>120723</v>
      </c>
      <c r="D7" s="363">
        <v>40605</v>
      </c>
      <c r="E7" s="364">
        <v>40624</v>
      </c>
      <c r="F7" s="363">
        <v>121378</v>
      </c>
      <c r="G7" s="365">
        <v>14850</v>
      </c>
    </row>
    <row r="8" spans="1:9" s="357" customFormat="1" ht="17.25" hidden="1" customHeight="1">
      <c r="A8" s="362">
        <v>2003</v>
      </c>
      <c r="B8" s="363">
        <v>14850</v>
      </c>
      <c r="C8" s="364">
        <v>125622</v>
      </c>
      <c r="D8" s="363">
        <v>44027</v>
      </c>
      <c r="E8" s="364">
        <v>44282</v>
      </c>
      <c r="F8" s="363">
        <v>125782</v>
      </c>
      <c r="G8" s="365">
        <v>14435</v>
      </c>
    </row>
    <row r="9" spans="1:9" s="357" customFormat="1" ht="17.25" hidden="1" customHeight="1">
      <c r="A9" s="362">
        <v>2004</v>
      </c>
      <c r="B9" s="363">
        <v>14435</v>
      </c>
      <c r="C9" s="364">
        <v>132398</v>
      </c>
      <c r="D9" s="363">
        <v>46855</v>
      </c>
      <c r="E9" s="364">
        <v>47372</v>
      </c>
      <c r="F9" s="363">
        <v>131531</v>
      </c>
      <c r="G9" s="365">
        <v>14785</v>
      </c>
    </row>
    <row r="10" spans="1:9" s="357" customFormat="1" ht="17.25" hidden="1" customHeight="1">
      <c r="A10" s="362">
        <v>2005</v>
      </c>
      <c r="B10" s="363">
        <v>14785</v>
      </c>
      <c r="C10" s="364">
        <v>141091</v>
      </c>
      <c r="D10" s="363">
        <v>50961</v>
      </c>
      <c r="E10" s="364">
        <v>51170</v>
      </c>
      <c r="F10" s="363">
        <v>139319</v>
      </c>
      <c r="G10" s="365">
        <v>16348</v>
      </c>
    </row>
    <row r="11" spans="1:9" s="357" customFormat="1" ht="17.25" hidden="1" customHeight="1">
      <c r="A11" s="362">
        <v>2006</v>
      </c>
      <c r="B11" s="363">
        <v>16348</v>
      </c>
      <c r="C11" s="364">
        <v>149998</v>
      </c>
      <c r="D11" s="363">
        <v>56361</v>
      </c>
      <c r="E11" s="364">
        <v>57540</v>
      </c>
      <c r="F11" s="363">
        <v>147481</v>
      </c>
      <c r="G11" s="365">
        <v>17686</v>
      </c>
    </row>
    <row r="12" spans="1:9" s="357" customFormat="1" ht="17.25" hidden="1" customHeight="1">
      <c r="A12" s="362">
        <v>2007</v>
      </c>
      <c r="B12" s="363">
        <v>17686</v>
      </c>
      <c r="C12" s="364">
        <v>154136</v>
      </c>
      <c r="D12" s="363">
        <v>57992</v>
      </c>
      <c r="E12" s="364">
        <v>58273</v>
      </c>
      <c r="F12" s="363">
        <v>153270</v>
      </c>
      <c r="G12" s="365">
        <v>18271</v>
      </c>
    </row>
    <row r="13" spans="1:9" s="357" customFormat="1" ht="17.25" hidden="1" customHeight="1">
      <c r="A13" s="362">
        <v>2008</v>
      </c>
      <c r="B13" s="363">
        <v>18271</v>
      </c>
      <c r="C13" s="364">
        <v>160092</v>
      </c>
      <c r="D13" s="363">
        <v>61572</v>
      </c>
      <c r="E13" s="364">
        <v>60800</v>
      </c>
      <c r="F13" s="363">
        <v>159477</v>
      </c>
      <c r="G13" s="365">
        <v>19658</v>
      </c>
    </row>
    <row r="14" spans="1:9" s="357" customFormat="1" ht="17.25" hidden="1" customHeight="1">
      <c r="A14" s="362">
        <v>2009</v>
      </c>
      <c r="B14" s="363">
        <v>19658</v>
      </c>
      <c r="C14" s="364">
        <v>165320</v>
      </c>
      <c r="D14" s="363">
        <v>64095</v>
      </c>
      <c r="E14" s="364">
        <v>64035</v>
      </c>
      <c r="F14" s="363">
        <v>164094</v>
      </c>
      <c r="G14" s="365">
        <v>20944</v>
      </c>
    </row>
    <row r="15" spans="1:9" s="357" customFormat="1" ht="17.25" customHeight="1">
      <c r="A15" s="362">
        <v>2010</v>
      </c>
      <c r="B15" s="363">
        <v>20944</v>
      </c>
      <c r="C15" s="364">
        <v>172567</v>
      </c>
      <c r="D15" s="363">
        <v>66601</v>
      </c>
      <c r="E15" s="364">
        <v>66518</v>
      </c>
      <c r="F15" s="363">
        <v>171213</v>
      </c>
      <c r="G15" s="365">
        <v>22381</v>
      </c>
      <c r="I15" s="366"/>
    </row>
    <row r="16" spans="1:9" s="357" customFormat="1" ht="17.25" customHeight="1">
      <c r="A16" s="362">
        <v>2011</v>
      </c>
      <c r="B16" s="363">
        <v>22381</v>
      </c>
      <c r="C16" s="364">
        <v>180325</v>
      </c>
      <c r="D16" s="363">
        <v>67931</v>
      </c>
      <c r="E16" s="364">
        <v>68853</v>
      </c>
      <c r="F16" s="363">
        <v>176035</v>
      </c>
      <c r="G16" s="365">
        <v>25749</v>
      </c>
    </row>
    <row r="17" spans="1:7" s="357" customFormat="1" ht="17.25" customHeight="1">
      <c r="A17" s="362">
        <v>2012</v>
      </c>
      <c r="B17" s="363">
        <v>25749</v>
      </c>
      <c r="C17" s="364">
        <v>188466</v>
      </c>
      <c r="D17" s="363">
        <v>73080</v>
      </c>
      <c r="E17" s="364">
        <v>72917</v>
      </c>
      <c r="F17" s="363">
        <v>184449</v>
      </c>
      <c r="G17" s="365">
        <v>29929</v>
      </c>
    </row>
    <row r="18" spans="1:7" s="357" customFormat="1" ht="17.25" customHeight="1">
      <c r="A18" s="362">
        <v>2013</v>
      </c>
      <c r="B18" s="363">
        <v>29929</v>
      </c>
      <c r="C18" s="364">
        <v>192068</v>
      </c>
      <c r="D18" s="363">
        <v>75489</v>
      </c>
      <c r="E18" s="364">
        <v>75498</v>
      </c>
      <c r="F18" s="363">
        <v>192396</v>
      </c>
      <c r="G18" s="365">
        <v>29592</v>
      </c>
    </row>
    <row r="19" spans="1:7" s="357" customFormat="1" ht="17.25" customHeight="1">
      <c r="A19" s="362">
        <v>2014</v>
      </c>
      <c r="B19" s="363">
        <v>29592</v>
      </c>
      <c r="C19" s="364">
        <v>202475</v>
      </c>
      <c r="D19" s="363">
        <v>77320</v>
      </c>
      <c r="E19" s="364">
        <v>77496</v>
      </c>
      <c r="F19" s="363">
        <v>200753</v>
      </c>
      <c r="G19" s="365">
        <v>31138</v>
      </c>
    </row>
    <row r="20" spans="1:7" s="357" customFormat="1" ht="17.25" customHeight="1">
      <c r="A20" s="362">
        <v>2015</v>
      </c>
      <c r="B20" s="363">
        <v>31138</v>
      </c>
      <c r="C20" s="364">
        <v>209116.3</v>
      </c>
      <c r="D20" s="363">
        <v>83383.8</v>
      </c>
      <c r="E20" s="364">
        <v>84723.7</v>
      </c>
      <c r="F20" s="363">
        <v>205331.40000000002</v>
      </c>
      <c r="G20" s="365">
        <v>33583</v>
      </c>
    </row>
    <row r="21" spans="1:7" s="357" customFormat="1" ht="17.25" customHeight="1">
      <c r="A21" s="362">
        <v>2016</v>
      </c>
      <c r="B21" s="363">
        <v>33583</v>
      </c>
      <c r="C21" s="364">
        <v>207908.5</v>
      </c>
      <c r="D21" s="363">
        <v>81478.5</v>
      </c>
      <c r="E21" s="364">
        <v>80946.899999999994</v>
      </c>
      <c r="F21" s="363">
        <v>213366.1</v>
      </c>
      <c r="G21" s="365">
        <v>28657</v>
      </c>
    </row>
    <row r="22" spans="1:7" s="357" customFormat="1" ht="17.25" customHeight="1">
      <c r="A22" s="362">
        <v>2017</v>
      </c>
      <c r="B22" s="363">
        <v>28657</v>
      </c>
      <c r="C22" s="364">
        <v>224172.2</v>
      </c>
      <c r="D22" s="363">
        <v>88264.1</v>
      </c>
      <c r="E22" s="364">
        <v>88864.5</v>
      </c>
      <c r="F22" s="363">
        <v>221105.8</v>
      </c>
      <c r="G22" s="365">
        <v>31123</v>
      </c>
    </row>
    <row r="23" spans="1:7" s="357" customFormat="1" ht="17.25" customHeight="1">
      <c r="A23" s="362">
        <v>2018</v>
      </c>
      <c r="B23" s="363">
        <v>31123</v>
      </c>
      <c r="C23" s="364">
        <v>234268</v>
      </c>
      <c r="D23" s="363">
        <v>89379</v>
      </c>
      <c r="E23" s="364">
        <v>90397</v>
      </c>
      <c r="F23" s="363">
        <v>230181</v>
      </c>
      <c r="G23" s="365">
        <v>34192</v>
      </c>
    </row>
    <row r="24" spans="1:7" s="357" customFormat="1" ht="17.25" customHeight="1">
      <c r="A24" s="362">
        <v>2019</v>
      </c>
      <c r="B24" s="363">
        <v>34192</v>
      </c>
      <c r="C24" s="364">
        <v>236810</v>
      </c>
      <c r="D24" s="363">
        <v>98597</v>
      </c>
      <c r="E24" s="364">
        <v>98153</v>
      </c>
      <c r="F24" s="363">
        <v>238729</v>
      </c>
      <c r="G24" s="365">
        <v>32717</v>
      </c>
    </row>
    <row r="25" spans="1:7" s="357" customFormat="1" ht="17.25" customHeight="1">
      <c r="A25" s="426">
        <v>2020</v>
      </c>
      <c r="B25" s="367">
        <v>32717</v>
      </c>
      <c r="C25" s="427">
        <v>236053</v>
      </c>
      <c r="D25" s="367">
        <v>95758</v>
      </c>
      <c r="E25" s="427">
        <v>96519</v>
      </c>
      <c r="F25" s="367">
        <v>236722</v>
      </c>
      <c r="G25" s="367">
        <v>31287</v>
      </c>
    </row>
    <row r="26" spans="1:7" s="357" customFormat="1" ht="17.25" customHeight="1">
      <c r="A26" s="183" t="s">
        <v>312</v>
      </c>
      <c r="B26" s="356"/>
      <c r="C26" s="356"/>
      <c r="D26" s="356"/>
      <c r="E26" s="356"/>
      <c r="F26" s="356"/>
      <c r="G26" s="356"/>
    </row>
    <row r="27" spans="1:7" ht="17.25" customHeight="1">
      <c r="A27" s="184"/>
    </row>
    <row r="28" spans="1:7" ht="17.25" customHeight="1">
      <c r="A28" s="184"/>
    </row>
  </sheetData>
  <mergeCells count="3">
    <mergeCell ref="A4:G4"/>
    <mergeCell ref="A3:G3"/>
    <mergeCell ref="A2:G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2"/>
  <sheetViews>
    <sheetView showOutlineSymbols="0" view="pageBreakPreview" zoomScaleNormal="100" zoomScaleSheetLayoutView="100" workbookViewId="0">
      <selection activeCell="H38" sqref="H38"/>
    </sheetView>
  </sheetViews>
  <sheetFormatPr defaultColWidth="14.5" defaultRowHeight="17.25" customHeight="1"/>
  <cols>
    <col min="1" max="1" width="31.33203125" style="184" customWidth="1"/>
    <col min="2" max="9" width="10.6640625" style="184" hidden="1" customWidth="1"/>
    <col min="10" max="20" width="12.1640625" style="184" customWidth="1"/>
    <col min="21" max="16384" width="14.5" style="184"/>
  </cols>
  <sheetData>
    <row r="2" spans="1:20" ht="17.25" customHeight="1">
      <c r="A2" s="613" t="s">
        <v>222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</row>
    <row r="3" spans="1:20" ht="17.25" customHeight="1">
      <c r="A3" s="614" t="s">
        <v>318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1:20" ht="17.25" customHeight="1">
      <c r="A4" s="613" t="s">
        <v>14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</row>
    <row r="6" spans="1:20" ht="17.25" customHeight="1">
      <c r="A6" s="185" t="s">
        <v>317</v>
      </c>
      <c r="B6" s="186">
        <v>2002</v>
      </c>
      <c r="C6" s="187">
        <v>2003</v>
      </c>
      <c r="D6" s="187">
        <v>2004</v>
      </c>
      <c r="E6" s="188">
        <v>2005</v>
      </c>
      <c r="F6" s="188">
        <v>2006</v>
      </c>
      <c r="G6" s="188">
        <v>2007</v>
      </c>
      <c r="H6" s="188">
        <v>2008</v>
      </c>
      <c r="I6" s="188">
        <v>2009</v>
      </c>
      <c r="J6" s="188">
        <v>2010</v>
      </c>
      <c r="K6" s="188">
        <v>2011</v>
      </c>
      <c r="L6" s="188">
        <v>2012</v>
      </c>
      <c r="M6" s="188">
        <v>2013</v>
      </c>
      <c r="N6" s="188">
        <v>2014</v>
      </c>
      <c r="O6" s="188">
        <v>2015</v>
      </c>
      <c r="P6" s="188">
        <v>2016</v>
      </c>
      <c r="Q6" s="188">
        <v>2017</v>
      </c>
      <c r="R6" s="188">
        <v>2018</v>
      </c>
      <c r="S6" s="188">
        <v>2019</v>
      </c>
      <c r="T6" s="188">
        <v>2020</v>
      </c>
    </row>
    <row r="7" spans="1:20" ht="17.25" customHeight="1">
      <c r="A7" s="189" t="s">
        <v>173</v>
      </c>
      <c r="B7" s="190">
        <v>4151</v>
      </c>
      <c r="C7" s="190">
        <v>3976</v>
      </c>
      <c r="D7" s="191">
        <v>4043</v>
      </c>
      <c r="E7" s="191">
        <v>4786</v>
      </c>
      <c r="F7" s="192">
        <v>5294</v>
      </c>
      <c r="G7" s="193">
        <v>5536</v>
      </c>
      <c r="H7" s="193">
        <v>6230</v>
      </c>
      <c r="I7" s="193">
        <v>7316</v>
      </c>
      <c r="J7" s="193">
        <v>7604</v>
      </c>
      <c r="K7" s="193">
        <v>8038</v>
      </c>
      <c r="L7" s="193">
        <v>10157</v>
      </c>
      <c r="M7" s="193">
        <v>12100</v>
      </c>
      <c r="N7" s="193">
        <v>11269</v>
      </c>
      <c r="O7" s="193">
        <v>11856</v>
      </c>
      <c r="P7" s="193">
        <v>13527</v>
      </c>
      <c r="Q7" s="193">
        <v>10652</v>
      </c>
      <c r="R7" s="193">
        <v>13105</v>
      </c>
      <c r="S7" s="193">
        <v>15265</v>
      </c>
      <c r="T7" s="193">
        <v>13644</v>
      </c>
    </row>
    <row r="8" spans="1:20" ht="17.25" customHeight="1">
      <c r="A8" s="194" t="s">
        <v>174</v>
      </c>
      <c r="B8" s="195">
        <v>603</v>
      </c>
      <c r="C8" s="195">
        <v>514</v>
      </c>
      <c r="D8" s="196">
        <v>413</v>
      </c>
      <c r="E8" s="196">
        <v>359</v>
      </c>
      <c r="F8" s="192">
        <v>427</v>
      </c>
      <c r="G8" s="192">
        <v>546</v>
      </c>
      <c r="H8" s="192">
        <v>464</v>
      </c>
      <c r="I8" s="192">
        <v>617</v>
      </c>
      <c r="J8" s="192">
        <v>580</v>
      </c>
      <c r="K8" s="192">
        <v>542</v>
      </c>
      <c r="L8" s="192">
        <v>758</v>
      </c>
      <c r="M8" s="192">
        <v>960</v>
      </c>
      <c r="N8" s="192">
        <v>879</v>
      </c>
      <c r="O8" s="192">
        <v>965</v>
      </c>
      <c r="P8" s="192">
        <v>1060</v>
      </c>
      <c r="Q8" s="192">
        <v>875</v>
      </c>
      <c r="R8" s="192">
        <v>1006</v>
      </c>
      <c r="S8" s="192">
        <v>1306</v>
      </c>
      <c r="T8" s="192">
        <v>1357</v>
      </c>
    </row>
    <row r="9" spans="1:20" ht="17.25" customHeight="1">
      <c r="A9" s="194" t="s">
        <v>234</v>
      </c>
      <c r="B9" s="195">
        <v>3438</v>
      </c>
      <c r="C9" s="195">
        <v>3512</v>
      </c>
      <c r="D9" s="196">
        <v>3228</v>
      </c>
      <c r="E9" s="196">
        <v>2821</v>
      </c>
      <c r="F9" s="192">
        <v>3396</v>
      </c>
      <c r="G9" s="192">
        <v>3960</v>
      </c>
      <c r="H9" s="192">
        <v>4395</v>
      </c>
      <c r="I9" s="192">
        <v>4055</v>
      </c>
      <c r="J9" s="192">
        <v>4214</v>
      </c>
      <c r="K9" s="192">
        <v>4915</v>
      </c>
      <c r="L9" s="192">
        <v>4547</v>
      </c>
      <c r="M9" s="192">
        <v>4632</v>
      </c>
      <c r="N9" s="192">
        <v>4363</v>
      </c>
      <c r="O9" s="192">
        <v>4171</v>
      </c>
      <c r="P9" s="192">
        <v>5382</v>
      </c>
      <c r="Q9" s="192">
        <v>5346</v>
      </c>
      <c r="R9" s="192">
        <v>5754</v>
      </c>
      <c r="S9" s="192">
        <v>5993</v>
      </c>
      <c r="T9" s="192">
        <v>5830</v>
      </c>
    </row>
    <row r="10" spans="1:20" ht="17.25" customHeight="1">
      <c r="A10" s="194" t="s">
        <v>175</v>
      </c>
      <c r="B10" s="195">
        <v>389</v>
      </c>
      <c r="C10" s="195">
        <v>367</v>
      </c>
      <c r="D10" s="196">
        <v>340</v>
      </c>
      <c r="E10" s="196">
        <v>398</v>
      </c>
      <c r="F10" s="192">
        <v>415</v>
      </c>
      <c r="G10" s="192">
        <v>435</v>
      </c>
      <c r="H10" s="192">
        <v>445</v>
      </c>
      <c r="I10" s="192">
        <v>438</v>
      </c>
      <c r="J10" s="192">
        <v>445</v>
      </c>
      <c r="K10" s="192">
        <v>441</v>
      </c>
      <c r="L10" s="192">
        <v>478</v>
      </c>
      <c r="M10" s="192">
        <v>471</v>
      </c>
      <c r="N10" s="192">
        <v>436</v>
      </c>
      <c r="O10" s="192">
        <v>439</v>
      </c>
      <c r="P10" s="192">
        <v>434</v>
      </c>
      <c r="Q10" s="192">
        <v>383</v>
      </c>
      <c r="R10" s="192">
        <v>430</v>
      </c>
      <c r="S10" s="192">
        <v>420</v>
      </c>
      <c r="T10" s="192">
        <v>370</v>
      </c>
    </row>
    <row r="11" spans="1:20" ht="17.25" customHeight="1">
      <c r="A11" s="197" t="s">
        <v>176</v>
      </c>
      <c r="B11" s="195">
        <v>522</v>
      </c>
      <c r="C11" s="195">
        <v>440</v>
      </c>
      <c r="D11" s="196">
        <v>404</v>
      </c>
      <c r="E11" s="196">
        <v>427</v>
      </c>
      <c r="F11" s="192">
        <v>452</v>
      </c>
      <c r="G11" s="192">
        <v>420</v>
      </c>
      <c r="H11" s="192">
        <v>391</v>
      </c>
      <c r="I11" s="192">
        <v>370</v>
      </c>
      <c r="J11" s="192">
        <v>331</v>
      </c>
      <c r="K11" s="192">
        <v>382</v>
      </c>
      <c r="L11" s="192">
        <v>389</v>
      </c>
      <c r="M11" s="192">
        <v>322</v>
      </c>
      <c r="N11" s="192">
        <v>377</v>
      </c>
      <c r="O11" s="192">
        <v>248</v>
      </c>
      <c r="P11" s="192">
        <v>275</v>
      </c>
      <c r="Q11" s="192">
        <v>311</v>
      </c>
      <c r="R11" s="192">
        <v>340</v>
      </c>
      <c r="S11" s="192">
        <v>350</v>
      </c>
      <c r="T11" s="192">
        <v>270</v>
      </c>
    </row>
    <row r="12" spans="1:20" ht="17.25" customHeight="1">
      <c r="A12" s="194" t="s">
        <v>177</v>
      </c>
      <c r="B12" s="195">
        <v>1169</v>
      </c>
      <c r="C12" s="195">
        <v>1077</v>
      </c>
      <c r="D12" s="196">
        <v>1234</v>
      </c>
      <c r="E12" s="196">
        <v>1011</v>
      </c>
      <c r="F12" s="192">
        <v>1224</v>
      </c>
      <c r="G12" s="192">
        <v>1403</v>
      </c>
      <c r="H12" s="192">
        <v>1203</v>
      </c>
      <c r="I12" s="192">
        <v>1398</v>
      </c>
      <c r="J12" s="192">
        <v>1864</v>
      </c>
      <c r="K12" s="192">
        <v>1662</v>
      </c>
      <c r="L12" s="192">
        <v>1837</v>
      </c>
      <c r="M12" s="192">
        <v>2417</v>
      </c>
      <c r="N12" s="192">
        <v>2129</v>
      </c>
      <c r="O12" s="192">
        <v>2430</v>
      </c>
      <c r="P12" s="192">
        <v>2459</v>
      </c>
      <c r="Q12" s="192">
        <v>2586</v>
      </c>
      <c r="R12" s="192">
        <v>3011</v>
      </c>
      <c r="S12" s="192">
        <v>2900</v>
      </c>
      <c r="T12" s="192">
        <v>3440</v>
      </c>
    </row>
    <row r="13" spans="1:20" ht="17.25" customHeight="1">
      <c r="A13" s="194" t="s">
        <v>27</v>
      </c>
      <c r="B13" s="195">
        <v>1189</v>
      </c>
      <c r="C13" s="195">
        <v>1022</v>
      </c>
      <c r="D13" s="196">
        <v>975</v>
      </c>
      <c r="E13" s="196">
        <v>1025</v>
      </c>
      <c r="F13" s="192">
        <v>1154</v>
      </c>
      <c r="G13" s="192">
        <v>1495</v>
      </c>
      <c r="H13" s="192">
        <v>1320</v>
      </c>
      <c r="I13" s="192">
        <v>1529</v>
      </c>
      <c r="J13" s="192">
        <v>2186</v>
      </c>
      <c r="K13" s="192">
        <v>2718</v>
      </c>
      <c r="L13" s="192">
        <v>3564</v>
      </c>
      <c r="M13" s="192">
        <v>4699</v>
      </c>
      <c r="N13" s="192">
        <v>6069</v>
      </c>
      <c r="O13" s="192">
        <v>6774</v>
      </c>
      <c r="P13" s="192">
        <v>6085</v>
      </c>
      <c r="Q13" s="192">
        <v>4499</v>
      </c>
      <c r="R13" s="192">
        <v>3568</v>
      </c>
      <c r="S13" s="192">
        <v>3281</v>
      </c>
      <c r="T13" s="192">
        <v>2983</v>
      </c>
    </row>
    <row r="14" spans="1:20" ht="17.25" customHeight="1">
      <c r="A14" s="197" t="s">
        <v>178</v>
      </c>
      <c r="B14" s="195">
        <v>209</v>
      </c>
      <c r="C14" s="195">
        <v>174</v>
      </c>
      <c r="D14" s="196">
        <v>175</v>
      </c>
      <c r="E14" s="196">
        <v>132</v>
      </c>
      <c r="F14" s="192">
        <v>162</v>
      </c>
      <c r="G14" s="192">
        <v>233</v>
      </c>
      <c r="H14" s="192">
        <v>222</v>
      </c>
      <c r="I14" s="192">
        <v>267</v>
      </c>
      <c r="J14" s="192">
        <v>218</v>
      </c>
      <c r="K14" s="192">
        <v>174</v>
      </c>
      <c r="L14" s="192">
        <v>233</v>
      </c>
      <c r="M14" s="192">
        <v>281</v>
      </c>
      <c r="N14" s="192">
        <v>295</v>
      </c>
      <c r="O14" s="192">
        <v>324</v>
      </c>
      <c r="P14" s="192">
        <v>272</v>
      </c>
      <c r="Q14" s="192">
        <v>271</v>
      </c>
      <c r="R14" s="192">
        <v>350</v>
      </c>
      <c r="S14" s="192">
        <v>300</v>
      </c>
      <c r="T14" s="192">
        <v>300</v>
      </c>
    </row>
    <row r="15" spans="1:20" ht="17.25" customHeight="1">
      <c r="A15" s="194" t="s">
        <v>179</v>
      </c>
      <c r="B15" s="195">
        <v>583</v>
      </c>
      <c r="C15" s="195">
        <v>528</v>
      </c>
      <c r="D15" s="196">
        <v>432</v>
      </c>
      <c r="E15" s="196">
        <v>424</v>
      </c>
      <c r="F15" s="192">
        <v>404</v>
      </c>
      <c r="G15" s="192">
        <v>402</v>
      </c>
      <c r="H15" s="192">
        <v>383</v>
      </c>
      <c r="I15" s="192">
        <v>396</v>
      </c>
      <c r="J15" s="192">
        <v>449</v>
      </c>
      <c r="K15" s="192">
        <v>475</v>
      </c>
      <c r="L15" s="192">
        <v>371</v>
      </c>
      <c r="M15" s="192">
        <v>429</v>
      </c>
      <c r="N15" s="192">
        <v>355</v>
      </c>
      <c r="O15" s="192">
        <v>368</v>
      </c>
      <c r="P15" s="192">
        <v>445</v>
      </c>
      <c r="Q15" s="192">
        <v>358</v>
      </c>
      <c r="R15" s="192">
        <v>329</v>
      </c>
      <c r="S15" s="192">
        <v>517</v>
      </c>
      <c r="T15" s="192">
        <v>513</v>
      </c>
    </row>
    <row r="16" spans="1:20" ht="17.25" customHeight="1">
      <c r="A16" s="197" t="s">
        <v>180</v>
      </c>
      <c r="B16" s="195">
        <v>1064</v>
      </c>
      <c r="C16" s="195">
        <v>1070</v>
      </c>
      <c r="D16" s="196">
        <v>1158</v>
      </c>
      <c r="E16" s="196">
        <v>1339</v>
      </c>
      <c r="F16" s="192">
        <v>1402</v>
      </c>
      <c r="G16" s="192">
        <v>1282</v>
      </c>
      <c r="H16" s="192">
        <v>1167</v>
      </c>
      <c r="I16" s="192">
        <v>1067</v>
      </c>
      <c r="J16" s="192">
        <v>995</v>
      </c>
      <c r="K16" s="192">
        <v>1096</v>
      </c>
      <c r="L16" s="192">
        <v>1329</v>
      </c>
      <c r="M16" s="192">
        <v>1554</v>
      </c>
      <c r="N16" s="192">
        <v>1282</v>
      </c>
      <c r="O16" s="192">
        <v>1432</v>
      </c>
      <c r="P16" s="192">
        <v>1386</v>
      </c>
      <c r="Q16" s="192">
        <v>1123</v>
      </c>
      <c r="R16" s="192">
        <v>1030</v>
      </c>
      <c r="S16" s="192">
        <v>1410</v>
      </c>
      <c r="T16" s="192">
        <v>1730</v>
      </c>
    </row>
    <row r="17" spans="1:20" ht="17.25" customHeight="1">
      <c r="A17" s="197" t="s">
        <v>181</v>
      </c>
      <c r="B17" s="195">
        <v>98</v>
      </c>
      <c r="C17" s="195">
        <v>83</v>
      </c>
      <c r="D17" s="196">
        <v>45</v>
      </c>
      <c r="E17" s="196">
        <v>49</v>
      </c>
      <c r="F17" s="192">
        <v>61</v>
      </c>
      <c r="G17" s="192">
        <v>56</v>
      </c>
      <c r="H17" s="192">
        <v>39</v>
      </c>
      <c r="I17" s="192">
        <v>86</v>
      </c>
      <c r="J17" s="192">
        <v>75</v>
      </c>
      <c r="K17" s="192">
        <v>77</v>
      </c>
      <c r="L17" s="192">
        <v>71</v>
      </c>
      <c r="M17" s="192">
        <v>77</v>
      </c>
      <c r="N17" s="192">
        <v>115</v>
      </c>
      <c r="O17" s="192">
        <v>105</v>
      </c>
      <c r="P17" s="192">
        <v>112</v>
      </c>
      <c r="Q17" s="192">
        <v>131</v>
      </c>
      <c r="R17" s="192">
        <v>140</v>
      </c>
      <c r="S17" s="192">
        <v>180</v>
      </c>
      <c r="T17" s="192">
        <v>110</v>
      </c>
    </row>
    <row r="18" spans="1:20" ht="17.25" customHeight="1">
      <c r="A18" s="197" t="s">
        <v>182</v>
      </c>
      <c r="B18" s="195">
        <v>47</v>
      </c>
      <c r="C18" s="195">
        <v>47</v>
      </c>
      <c r="D18" s="196">
        <v>47</v>
      </c>
      <c r="E18" s="196">
        <v>48</v>
      </c>
      <c r="F18" s="192">
        <v>48</v>
      </c>
      <c r="G18" s="192">
        <v>47</v>
      </c>
      <c r="H18" s="192">
        <v>47</v>
      </c>
      <c r="I18" s="192">
        <v>47</v>
      </c>
      <c r="J18" s="192">
        <v>47</v>
      </c>
      <c r="K18" s="192">
        <v>48</v>
      </c>
      <c r="L18" s="192">
        <v>50</v>
      </c>
      <c r="M18" s="192">
        <v>50</v>
      </c>
      <c r="N18" s="192">
        <v>47</v>
      </c>
      <c r="O18" s="192">
        <v>48</v>
      </c>
      <c r="P18" s="192">
        <v>49</v>
      </c>
      <c r="Q18" s="192">
        <v>49</v>
      </c>
      <c r="R18" s="192">
        <v>50</v>
      </c>
      <c r="S18" s="192">
        <v>50</v>
      </c>
      <c r="T18" s="192">
        <v>50</v>
      </c>
    </row>
    <row r="19" spans="1:20" ht="17.25" customHeight="1">
      <c r="A19" s="197" t="s">
        <v>183</v>
      </c>
      <c r="B19" s="198">
        <v>93</v>
      </c>
      <c r="C19" s="198">
        <v>77</v>
      </c>
      <c r="D19" s="199">
        <v>80</v>
      </c>
      <c r="E19" s="199">
        <v>75</v>
      </c>
      <c r="F19" s="192">
        <v>74</v>
      </c>
      <c r="G19" s="192">
        <v>94</v>
      </c>
      <c r="H19" s="192">
        <v>88</v>
      </c>
      <c r="I19" s="192">
        <v>86</v>
      </c>
      <c r="J19" s="192">
        <v>68</v>
      </c>
      <c r="K19" s="192">
        <v>93</v>
      </c>
      <c r="L19" s="192">
        <v>83</v>
      </c>
      <c r="M19" s="192">
        <v>84</v>
      </c>
      <c r="N19" s="192">
        <v>76</v>
      </c>
      <c r="O19" s="192">
        <v>79</v>
      </c>
      <c r="P19" s="192">
        <v>95</v>
      </c>
      <c r="Q19" s="192">
        <v>114</v>
      </c>
      <c r="R19" s="192">
        <v>110</v>
      </c>
      <c r="S19" s="192">
        <v>100</v>
      </c>
      <c r="T19" s="192">
        <v>110</v>
      </c>
    </row>
    <row r="20" spans="1:20" ht="17.25" customHeight="1">
      <c r="A20" s="200" t="s">
        <v>184</v>
      </c>
      <c r="B20" s="201">
        <f>SUM(B7:B19)</f>
        <v>13555</v>
      </c>
      <c r="C20" s="201">
        <f t="shared" ref="C20:I20" si="0">SUM(C7:C19)</f>
        <v>12887</v>
      </c>
      <c r="D20" s="201">
        <f t="shared" si="0"/>
        <v>12574</v>
      </c>
      <c r="E20" s="201">
        <f t="shared" si="0"/>
        <v>12894</v>
      </c>
      <c r="F20" s="201">
        <f t="shared" si="0"/>
        <v>14513</v>
      </c>
      <c r="G20" s="201">
        <f t="shared" si="0"/>
        <v>15909</v>
      </c>
      <c r="H20" s="201">
        <f t="shared" si="0"/>
        <v>16394</v>
      </c>
      <c r="I20" s="201">
        <f t="shared" si="0"/>
        <v>17672</v>
      </c>
      <c r="J20" s="201">
        <f>SUM(J7:J19)</f>
        <v>19076</v>
      </c>
      <c r="K20" s="201">
        <f t="shared" ref="K20:T20" si="1">SUM(K7:K19)</f>
        <v>20661</v>
      </c>
      <c r="L20" s="201">
        <f t="shared" si="1"/>
        <v>23867</v>
      </c>
      <c r="M20" s="201">
        <f t="shared" si="1"/>
        <v>28076</v>
      </c>
      <c r="N20" s="201">
        <f t="shared" si="1"/>
        <v>27692</v>
      </c>
      <c r="O20" s="201">
        <f t="shared" si="1"/>
        <v>29239</v>
      </c>
      <c r="P20" s="201">
        <f t="shared" si="1"/>
        <v>31581</v>
      </c>
      <c r="Q20" s="201">
        <f t="shared" si="1"/>
        <v>26698</v>
      </c>
      <c r="R20" s="201">
        <f t="shared" si="1"/>
        <v>29223</v>
      </c>
      <c r="S20" s="201">
        <f t="shared" si="1"/>
        <v>32072</v>
      </c>
      <c r="T20" s="201">
        <f t="shared" si="1"/>
        <v>30707</v>
      </c>
    </row>
    <row r="21" spans="1:20" ht="17.25" customHeight="1">
      <c r="A21" s="322" t="s">
        <v>185</v>
      </c>
      <c r="B21" s="193">
        <v>636</v>
      </c>
      <c r="C21" s="193">
        <v>688</v>
      </c>
      <c r="D21" s="203">
        <v>719</v>
      </c>
      <c r="E21" s="203">
        <v>622</v>
      </c>
      <c r="F21" s="192">
        <v>609</v>
      </c>
      <c r="G21" s="192">
        <v>616</v>
      </c>
      <c r="H21" s="192">
        <v>608</v>
      </c>
      <c r="I21" s="192">
        <v>646</v>
      </c>
      <c r="J21" s="192">
        <v>579</v>
      </c>
      <c r="K21" s="192">
        <v>548</v>
      </c>
      <c r="L21" s="192">
        <v>572</v>
      </c>
      <c r="M21" s="192">
        <v>603</v>
      </c>
      <c r="N21" s="192">
        <v>580</v>
      </c>
      <c r="O21" s="192">
        <v>595</v>
      </c>
      <c r="P21" s="192">
        <v>642</v>
      </c>
      <c r="Q21" s="192">
        <v>637</v>
      </c>
      <c r="R21" s="192">
        <v>640</v>
      </c>
      <c r="S21" s="192">
        <v>690</v>
      </c>
      <c r="T21" s="192">
        <v>690</v>
      </c>
    </row>
    <row r="22" spans="1:20" ht="17.25" customHeight="1">
      <c r="A22" s="323" t="s">
        <v>186</v>
      </c>
      <c r="B22" s="192">
        <v>683</v>
      </c>
      <c r="C22" s="192">
        <v>656</v>
      </c>
      <c r="D22" s="197">
        <v>550</v>
      </c>
      <c r="E22" s="197">
        <v>569</v>
      </c>
      <c r="F22" s="192">
        <v>532</v>
      </c>
      <c r="G22" s="192">
        <v>526</v>
      </c>
      <c r="H22" s="192">
        <v>613</v>
      </c>
      <c r="I22" s="192">
        <v>588</v>
      </c>
      <c r="J22" s="192">
        <v>547</v>
      </c>
      <c r="K22" s="192">
        <v>520</v>
      </c>
      <c r="L22" s="192">
        <v>543</v>
      </c>
      <c r="M22" s="192">
        <v>578</v>
      </c>
      <c r="N22" s="192">
        <v>570</v>
      </c>
      <c r="O22" s="192">
        <v>593</v>
      </c>
      <c r="P22" s="192">
        <v>610</v>
      </c>
      <c r="Q22" s="192">
        <v>580</v>
      </c>
      <c r="R22" s="192">
        <v>550</v>
      </c>
      <c r="S22" s="192">
        <v>620</v>
      </c>
      <c r="T22" s="192">
        <v>640</v>
      </c>
    </row>
    <row r="23" spans="1:20" ht="17.25" customHeight="1">
      <c r="A23" s="323" t="s">
        <v>187</v>
      </c>
      <c r="B23" s="192">
        <v>434</v>
      </c>
      <c r="C23" s="192">
        <v>445</v>
      </c>
      <c r="D23" s="197">
        <v>451</v>
      </c>
      <c r="E23" s="197">
        <v>465</v>
      </c>
      <c r="F23" s="192">
        <v>449</v>
      </c>
      <c r="G23" s="192">
        <v>468</v>
      </c>
      <c r="H23" s="192">
        <v>465</v>
      </c>
      <c r="I23" s="192">
        <v>304</v>
      </c>
      <c r="J23" s="192">
        <v>294</v>
      </c>
      <c r="K23" s="192">
        <v>171</v>
      </c>
      <c r="L23" s="192">
        <v>266</v>
      </c>
      <c r="M23" s="192">
        <v>154</v>
      </c>
      <c r="N23" s="192">
        <v>235</v>
      </c>
      <c r="O23" s="192">
        <v>209</v>
      </c>
      <c r="P23" s="192">
        <v>246</v>
      </c>
      <c r="Q23" s="192">
        <v>228</v>
      </c>
      <c r="R23" s="192">
        <v>180</v>
      </c>
      <c r="S23" s="192">
        <v>300</v>
      </c>
      <c r="T23" s="192">
        <v>200</v>
      </c>
    </row>
    <row r="24" spans="1:20" ht="17.25" customHeight="1">
      <c r="A24" s="323" t="s">
        <v>188</v>
      </c>
      <c r="B24" s="204">
        <v>216</v>
      </c>
      <c r="C24" s="204">
        <v>174</v>
      </c>
      <c r="D24" s="205">
        <v>141</v>
      </c>
      <c r="E24" s="205">
        <v>235</v>
      </c>
      <c r="F24" s="192">
        <v>245</v>
      </c>
      <c r="G24" s="192">
        <v>167</v>
      </c>
      <c r="H24" s="192">
        <v>191</v>
      </c>
      <c r="I24" s="192">
        <v>448</v>
      </c>
      <c r="J24" s="192">
        <v>448</v>
      </c>
      <c r="K24" s="192">
        <v>481</v>
      </c>
      <c r="L24" s="192">
        <v>501</v>
      </c>
      <c r="M24" s="192">
        <v>518</v>
      </c>
      <c r="N24" s="192">
        <v>515</v>
      </c>
      <c r="O24" s="192">
        <v>502</v>
      </c>
      <c r="P24" s="192">
        <v>504</v>
      </c>
      <c r="Q24" s="192">
        <v>514</v>
      </c>
      <c r="R24" s="192">
        <v>530</v>
      </c>
      <c r="S24" s="192">
        <v>510</v>
      </c>
      <c r="T24" s="192">
        <v>480</v>
      </c>
    </row>
    <row r="25" spans="1:20" ht="17.25" customHeight="1">
      <c r="A25" s="200" t="s">
        <v>319</v>
      </c>
      <c r="B25" s="201">
        <f>SUM(B21:B24)</f>
        <v>1969</v>
      </c>
      <c r="C25" s="201">
        <f t="shared" ref="C25:I25" si="2">SUM(C21:C24)</f>
        <v>1963</v>
      </c>
      <c r="D25" s="201">
        <f t="shared" si="2"/>
        <v>1861</v>
      </c>
      <c r="E25" s="201">
        <f t="shared" si="2"/>
        <v>1891</v>
      </c>
      <c r="F25" s="201">
        <f t="shared" si="2"/>
        <v>1835</v>
      </c>
      <c r="G25" s="201">
        <f t="shared" si="2"/>
        <v>1777</v>
      </c>
      <c r="H25" s="201">
        <f>SUM(H21:H24)</f>
        <v>1877</v>
      </c>
      <c r="I25" s="201">
        <f t="shared" si="2"/>
        <v>1986</v>
      </c>
      <c r="J25" s="201">
        <f>SUM(J21:J24)</f>
        <v>1868</v>
      </c>
      <c r="K25" s="201">
        <f t="shared" ref="K25:T25" si="3">SUM(K21:K24)</f>
        <v>1720</v>
      </c>
      <c r="L25" s="201">
        <f t="shared" si="3"/>
        <v>1882</v>
      </c>
      <c r="M25" s="201">
        <f t="shared" si="3"/>
        <v>1853</v>
      </c>
      <c r="N25" s="201">
        <f t="shared" si="3"/>
        <v>1900</v>
      </c>
      <c r="O25" s="201">
        <f t="shared" si="3"/>
        <v>1899</v>
      </c>
      <c r="P25" s="201">
        <f t="shared" si="3"/>
        <v>2002</v>
      </c>
      <c r="Q25" s="201">
        <f t="shared" si="3"/>
        <v>1959</v>
      </c>
      <c r="R25" s="201">
        <f t="shared" si="3"/>
        <v>1900</v>
      </c>
      <c r="S25" s="201">
        <f t="shared" si="3"/>
        <v>2120</v>
      </c>
      <c r="T25" s="201">
        <f t="shared" si="3"/>
        <v>2010</v>
      </c>
    </row>
    <row r="26" spans="1:20" ht="17.25" customHeight="1">
      <c r="A26" s="206" t="s">
        <v>189</v>
      </c>
      <c r="B26" s="201">
        <f>SUM(B20+B25)</f>
        <v>15524</v>
      </c>
      <c r="C26" s="201">
        <f t="shared" ref="C26:I26" si="4">SUM(C20+C25)</f>
        <v>14850</v>
      </c>
      <c r="D26" s="201">
        <f t="shared" si="4"/>
        <v>14435</v>
      </c>
      <c r="E26" s="201">
        <f t="shared" si="4"/>
        <v>14785</v>
      </c>
      <c r="F26" s="201">
        <f t="shared" si="4"/>
        <v>16348</v>
      </c>
      <c r="G26" s="201">
        <f t="shared" si="4"/>
        <v>17686</v>
      </c>
      <c r="H26" s="201">
        <f t="shared" si="4"/>
        <v>18271</v>
      </c>
      <c r="I26" s="201">
        <f t="shared" si="4"/>
        <v>19658</v>
      </c>
      <c r="J26" s="201">
        <f>SUM(J20+J25)</f>
        <v>20944</v>
      </c>
      <c r="K26" s="201">
        <f t="shared" ref="K26:T26" si="5">SUM(K20+K25)</f>
        <v>22381</v>
      </c>
      <c r="L26" s="201">
        <f t="shared" si="5"/>
        <v>25749</v>
      </c>
      <c r="M26" s="201">
        <f t="shared" si="5"/>
        <v>29929</v>
      </c>
      <c r="N26" s="201">
        <f t="shared" si="5"/>
        <v>29592</v>
      </c>
      <c r="O26" s="201">
        <f t="shared" si="5"/>
        <v>31138</v>
      </c>
      <c r="P26" s="201">
        <f t="shared" si="5"/>
        <v>33583</v>
      </c>
      <c r="Q26" s="201">
        <f t="shared" si="5"/>
        <v>28657</v>
      </c>
      <c r="R26" s="201">
        <f t="shared" si="5"/>
        <v>31123</v>
      </c>
      <c r="S26" s="201">
        <f t="shared" si="5"/>
        <v>34192</v>
      </c>
      <c r="T26" s="201">
        <f t="shared" si="5"/>
        <v>32717</v>
      </c>
    </row>
    <row r="27" spans="1:20" ht="17.25" customHeight="1">
      <c r="A27" s="183" t="s">
        <v>312</v>
      </c>
      <c r="B27" s="207"/>
      <c r="C27" s="207"/>
      <c r="D27" s="207"/>
      <c r="E27" s="207"/>
      <c r="F27" s="207"/>
      <c r="G27" s="207"/>
    </row>
    <row r="28" spans="1:20" ht="17.25" customHeight="1">
      <c r="A28" s="516"/>
      <c r="B28" s="209"/>
      <c r="G28" s="208"/>
      <c r="H28" s="208"/>
      <c r="I28" s="208"/>
      <c r="J28" s="208"/>
      <c r="K28" s="208"/>
      <c r="L28" s="208"/>
      <c r="M28" s="208"/>
      <c r="N28" s="208"/>
    </row>
    <row r="29" spans="1:20" ht="17.25" customHeight="1">
      <c r="A29" s="516"/>
      <c r="G29" s="208"/>
      <c r="H29" s="208"/>
      <c r="I29" s="208"/>
      <c r="J29" s="208"/>
      <c r="K29" s="208"/>
      <c r="L29" s="208"/>
      <c r="M29" s="208"/>
      <c r="N29" s="208"/>
    </row>
    <row r="30" spans="1:20" ht="17.25" customHeight="1">
      <c r="G30" s="208"/>
      <c r="H30" s="208"/>
      <c r="I30" s="208"/>
      <c r="J30" s="208"/>
      <c r="K30" s="208"/>
      <c r="L30" s="208"/>
      <c r="M30" s="208"/>
      <c r="N30" s="208"/>
    </row>
    <row r="31" spans="1:20" ht="17.25" customHeight="1">
      <c r="G31" s="208"/>
      <c r="H31" s="208"/>
      <c r="I31" s="208"/>
      <c r="J31" s="208"/>
      <c r="K31" s="208"/>
      <c r="L31" s="208"/>
      <c r="M31" s="208"/>
      <c r="N31" s="208"/>
    </row>
    <row r="32" spans="1:20" ht="17.25" customHeight="1">
      <c r="G32" s="208"/>
      <c r="H32" s="208"/>
      <c r="I32" s="208"/>
      <c r="J32" s="208"/>
      <c r="K32" s="208"/>
      <c r="L32" s="208"/>
      <c r="M32" s="208"/>
      <c r="N32" s="208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1" manualBreakCount="1">
    <brk id="2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1"/>
  <sheetViews>
    <sheetView showOutlineSymbols="0" view="pageBreakPreview" zoomScaleNormal="100" zoomScaleSheetLayoutView="100" workbookViewId="0">
      <selection activeCell="H38" sqref="H38"/>
    </sheetView>
  </sheetViews>
  <sheetFormatPr defaultColWidth="14.5" defaultRowHeight="17.25" customHeight="1"/>
  <cols>
    <col min="1" max="1" width="31" style="184" customWidth="1"/>
    <col min="2" max="8" width="10.6640625" style="184" hidden="1" customWidth="1"/>
    <col min="9" max="9" width="2.33203125" style="184" hidden="1" customWidth="1"/>
    <col min="10" max="20" width="12.1640625" style="184" customWidth="1"/>
    <col min="21" max="16384" width="14.5" style="184"/>
  </cols>
  <sheetData>
    <row r="2" spans="1:20" ht="17.25" customHeight="1">
      <c r="A2" s="613" t="s">
        <v>223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</row>
    <row r="3" spans="1:20" ht="17.25" customHeight="1">
      <c r="A3" s="614" t="s">
        <v>320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1:20" ht="17.25" customHeight="1">
      <c r="A4" s="613" t="s">
        <v>14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</row>
    <row r="6" spans="1:20" ht="17.25" customHeight="1">
      <c r="A6" s="185" t="s">
        <v>317</v>
      </c>
      <c r="B6" s="186">
        <v>2002</v>
      </c>
      <c r="C6" s="187">
        <v>2003</v>
      </c>
      <c r="D6" s="187">
        <v>2004</v>
      </c>
      <c r="E6" s="188">
        <v>2005</v>
      </c>
      <c r="F6" s="188">
        <v>2006</v>
      </c>
      <c r="G6" s="188">
        <v>2007</v>
      </c>
      <c r="H6" s="188">
        <v>2008</v>
      </c>
      <c r="I6" s="188">
        <v>2009</v>
      </c>
      <c r="J6" s="188">
        <v>2010</v>
      </c>
      <c r="K6" s="188">
        <v>2011</v>
      </c>
      <c r="L6" s="188">
        <v>2012</v>
      </c>
      <c r="M6" s="188">
        <v>2013</v>
      </c>
      <c r="N6" s="188">
        <v>2014</v>
      </c>
      <c r="O6" s="188">
        <v>2015</v>
      </c>
      <c r="P6" s="188">
        <v>2016</v>
      </c>
      <c r="Q6" s="188">
        <v>2017</v>
      </c>
      <c r="R6" s="188">
        <v>2018</v>
      </c>
      <c r="S6" s="188">
        <v>2019</v>
      </c>
      <c r="T6" s="188">
        <v>2020</v>
      </c>
    </row>
    <row r="7" spans="1:20" ht="17.25" customHeight="1">
      <c r="A7" s="189" t="s">
        <v>12</v>
      </c>
      <c r="B7" s="190">
        <v>4151</v>
      </c>
      <c r="C7" s="190">
        <v>3976</v>
      </c>
      <c r="D7" s="191">
        <v>4043</v>
      </c>
      <c r="E7" s="191">
        <v>4786</v>
      </c>
      <c r="F7" s="192">
        <v>5294</v>
      </c>
      <c r="G7" s="193">
        <v>5536</v>
      </c>
      <c r="H7" s="193">
        <v>6230</v>
      </c>
      <c r="I7" s="193">
        <v>7316</v>
      </c>
      <c r="J7" s="193">
        <v>46246</v>
      </c>
      <c r="K7" s="193">
        <v>50886</v>
      </c>
      <c r="L7" s="193">
        <v>53964</v>
      </c>
      <c r="M7" s="193">
        <v>56834</v>
      </c>
      <c r="N7" s="193">
        <v>60168</v>
      </c>
      <c r="O7" s="193">
        <v>63073.3</v>
      </c>
      <c r="P7" s="193">
        <v>60056.5</v>
      </c>
      <c r="Q7" s="193">
        <v>69638.2</v>
      </c>
      <c r="R7" s="193">
        <v>74680</v>
      </c>
      <c r="S7" s="193">
        <v>76674</v>
      </c>
      <c r="T7" s="193">
        <v>74046</v>
      </c>
    </row>
    <row r="8" spans="1:20" ht="17.25" customHeight="1">
      <c r="A8" s="194" t="s">
        <v>234</v>
      </c>
      <c r="B8" s="195">
        <v>1189</v>
      </c>
      <c r="C8" s="195">
        <v>1022</v>
      </c>
      <c r="D8" s="196">
        <v>975</v>
      </c>
      <c r="E8" s="196">
        <v>1025</v>
      </c>
      <c r="F8" s="192">
        <v>1154</v>
      </c>
      <c r="G8" s="192">
        <v>1495</v>
      </c>
      <c r="H8" s="192">
        <v>1320</v>
      </c>
      <c r="I8" s="192">
        <v>1529</v>
      </c>
      <c r="J8" s="192">
        <v>40104</v>
      </c>
      <c r="K8" s="192">
        <v>41443</v>
      </c>
      <c r="L8" s="192">
        <v>41702</v>
      </c>
      <c r="M8" s="192">
        <v>42802</v>
      </c>
      <c r="N8" s="192">
        <v>45250</v>
      </c>
      <c r="O8" s="192">
        <v>50288</v>
      </c>
      <c r="P8" s="192">
        <v>52656</v>
      </c>
      <c r="Q8" s="192">
        <v>54735</v>
      </c>
      <c r="R8" s="192">
        <v>56908</v>
      </c>
      <c r="S8" s="192">
        <v>56896</v>
      </c>
      <c r="T8" s="192">
        <v>58368</v>
      </c>
    </row>
    <row r="9" spans="1:20" ht="17.25" customHeight="1">
      <c r="A9" s="197" t="s">
        <v>27</v>
      </c>
      <c r="B9" s="195">
        <v>209</v>
      </c>
      <c r="C9" s="195">
        <v>174</v>
      </c>
      <c r="D9" s="196">
        <v>175</v>
      </c>
      <c r="E9" s="196">
        <v>132</v>
      </c>
      <c r="F9" s="192">
        <v>162</v>
      </c>
      <c r="G9" s="192">
        <v>233</v>
      </c>
      <c r="H9" s="192">
        <v>222</v>
      </c>
      <c r="I9" s="192">
        <v>267</v>
      </c>
      <c r="J9" s="192">
        <v>24259</v>
      </c>
      <c r="K9" s="192">
        <v>24113</v>
      </c>
      <c r="L9" s="192">
        <v>24927</v>
      </c>
      <c r="M9" s="192">
        <v>25588</v>
      </c>
      <c r="N9" s="192">
        <v>26886</v>
      </c>
      <c r="O9" s="192">
        <v>26107</v>
      </c>
      <c r="P9" s="192">
        <v>25219</v>
      </c>
      <c r="Q9" s="192">
        <v>25095</v>
      </c>
      <c r="R9" s="192">
        <v>25511</v>
      </c>
      <c r="S9" s="192">
        <v>24945</v>
      </c>
      <c r="T9" s="192">
        <v>25286</v>
      </c>
    </row>
    <row r="10" spans="1:20" ht="17.25" customHeight="1">
      <c r="A10" s="194" t="s">
        <v>177</v>
      </c>
      <c r="B10" s="195">
        <v>389</v>
      </c>
      <c r="C10" s="195">
        <v>367</v>
      </c>
      <c r="D10" s="196">
        <v>340</v>
      </c>
      <c r="E10" s="196">
        <v>398</v>
      </c>
      <c r="F10" s="192">
        <v>415</v>
      </c>
      <c r="G10" s="192">
        <v>435</v>
      </c>
      <c r="H10" s="192">
        <v>445</v>
      </c>
      <c r="I10" s="192">
        <v>438</v>
      </c>
      <c r="J10" s="192">
        <v>12455</v>
      </c>
      <c r="K10" s="192">
        <v>13103</v>
      </c>
      <c r="L10" s="192">
        <v>15062</v>
      </c>
      <c r="M10" s="192">
        <v>14005</v>
      </c>
      <c r="N10" s="192">
        <v>16266</v>
      </c>
      <c r="O10" s="192">
        <v>15317</v>
      </c>
      <c r="P10" s="192">
        <v>16522</v>
      </c>
      <c r="Q10" s="192">
        <v>18966</v>
      </c>
      <c r="R10" s="192">
        <v>18917</v>
      </c>
      <c r="S10" s="192">
        <v>20784</v>
      </c>
      <c r="T10" s="192">
        <v>21331</v>
      </c>
    </row>
    <row r="11" spans="1:20" ht="17.25" customHeight="1">
      <c r="A11" s="194" t="s">
        <v>4</v>
      </c>
      <c r="B11" s="195">
        <v>3438</v>
      </c>
      <c r="C11" s="195">
        <v>3512</v>
      </c>
      <c r="D11" s="196">
        <v>3228</v>
      </c>
      <c r="E11" s="196">
        <v>2821</v>
      </c>
      <c r="F11" s="192">
        <v>3396</v>
      </c>
      <c r="G11" s="192">
        <v>3960</v>
      </c>
      <c r="H11" s="192">
        <v>4395</v>
      </c>
      <c r="I11" s="192">
        <v>4055</v>
      </c>
      <c r="J11" s="192">
        <v>5105</v>
      </c>
      <c r="K11" s="192">
        <v>5546</v>
      </c>
      <c r="L11" s="192">
        <v>5940</v>
      </c>
      <c r="M11" s="192">
        <v>6216</v>
      </c>
      <c r="N11" s="192">
        <v>6509</v>
      </c>
      <c r="O11" s="192">
        <v>6813</v>
      </c>
      <c r="P11" s="192">
        <v>6355</v>
      </c>
      <c r="Q11" s="192">
        <v>7265</v>
      </c>
      <c r="R11" s="192">
        <v>7814</v>
      </c>
      <c r="S11" s="192">
        <v>8108</v>
      </c>
      <c r="T11" s="192">
        <v>7841</v>
      </c>
    </row>
    <row r="12" spans="1:20" ht="17.25" customHeight="1">
      <c r="A12" s="194" t="s">
        <v>175</v>
      </c>
      <c r="B12" s="195">
        <v>1169</v>
      </c>
      <c r="C12" s="195">
        <v>1077</v>
      </c>
      <c r="D12" s="196">
        <v>1234</v>
      </c>
      <c r="E12" s="196">
        <v>1011</v>
      </c>
      <c r="F12" s="192">
        <v>1224</v>
      </c>
      <c r="G12" s="192">
        <v>1403</v>
      </c>
      <c r="H12" s="192">
        <v>1203</v>
      </c>
      <c r="I12" s="192">
        <v>1398</v>
      </c>
      <c r="J12" s="192">
        <v>4499</v>
      </c>
      <c r="K12" s="192">
        <v>4849</v>
      </c>
      <c r="L12" s="192">
        <v>5164</v>
      </c>
      <c r="M12" s="192">
        <v>5039</v>
      </c>
      <c r="N12" s="192">
        <v>5100</v>
      </c>
      <c r="O12" s="192">
        <v>4898</v>
      </c>
      <c r="P12" s="192">
        <v>4236</v>
      </c>
      <c r="Q12" s="192">
        <v>4396</v>
      </c>
      <c r="R12" s="192">
        <v>4680</v>
      </c>
      <c r="S12" s="192">
        <v>4590</v>
      </c>
      <c r="T12" s="192">
        <v>4560</v>
      </c>
    </row>
    <row r="13" spans="1:20" ht="17.25" customHeight="1">
      <c r="A13" s="194" t="s">
        <v>176</v>
      </c>
      <c r="B13" s="195">
        <v>603</v>
      </c>
      <c r="C13" s="195">
        <v>514</v>
      </c>
      <c r="D13" s="196">
        <v>413</v>
      </c>
      <c r="E13" s="196">
        <v>359</v>
      </c>
      <c r="F13" s="192">
        <v>427</v>
      </c>
      <c r="G13" s="192">
        <v>546</v>
      </c>
      <c r="H13" s="192">
        <v>464</v>
      </c>
      <c r="I13" s="192">
        <v>617</v>
      </c>
      <c r="J13" s="192">
        <v>4159</v>
      </c>
      <c r="K13" s="192">
        <v>4217</v>
      </c>
      <c r="L13" s="192">
        <v>3963</v>
      </c>
      <c r="M13" s="192">
        <v>3935</v>
      </c>
      <c r="N13" s="192">
        <v>3931</v>
      </c>
      <c r="O13" s="192">
        <v>3795</v>
      </c>
      <c r="P13" s="192">
        <v>3799</v>
      </c>
      <c r="Q13" s="192">
        <v>4216</v>
      </c>
      <c r="R13" s="192">
        <v>4170</v>
      </c>
      <c r="S13" s="192">
        <v>3990</v>
      </c>
      <c r="T13" s="192">
        <v>4200</v>
      </c>
    </row>
    <row r="14" spans="1:20" ht="17.25" customHeight="1">
      <c r="A14" s="197" t="s">
        <v>178</v>
      </c>
      <c r="B14" s="195">
        <v>522</v>
      </c>
      <c r="C14" s="195">
        <v>440</v>
      </c>
      <c r="D14" s="196">
        <v>404</v>
      </c>
      <c r="E14" s="196">
        <v>427</v>
      </c>
      <c r="F14" s="192">
        <v>452</v>
      </c>
      <c r="G14" s="192">
        <v>420</v>
      </c>
      <c r="H14" s="192">
        <v>391</v>
      </c>
      <c r="I14" s="192">
        <v>370</v>
      </c>
      <c r="J14" s="192">
        <v>2411</v>
      </c>
      <c r="K14" s="192">
        <v>2617</v>
      </c>
      <c r="L14" s="192">
        <v>2835</v>
      </c>
      <c r="M14" s="192">
        <v>3056</v>
      </c>
      <c r="N14" s="192">
        <v>3241</v>
      </c>
      <c r="O14" s="192">
        <v>3653</v>
      </c>
      <c r="P14" s="192">
        <v>3952</v>
      </c>
      <c r="Q14" s="192">
        <v>4309</v>
      </c>
      <c r="R14" s="192">
        <v>4340</v>
      </c>
      <c r="S14" s="192">
        <v>4330</v>
      </c>
      <c r="T14" s="192">
        <v>4200</v>
      </c>
    </row>
    <row r="15" spans="1:20" ht="17.25" customHeight="1">
      <c r="A15" s="194" t="s">
        <v>180</v>
      </c>
      <c r="B15" s="195">
        <v>583</v>
      </c>
      <c r="C15" s="195">
        <v>528</v>
      </c>
      <c r="D15" s="196">
        <v>432</v>
      </c>
      <c r="E15" s="196">
        <v>424</v>
      </c>
      <c r="F15" s="192">
        <v>404</v>
      </c>
      <c r="G15" s="192">
        <v>402</v>
      </c>
      <c r="H15" s="192">
        <v>383</v>
      </c>
      <c r="I15" s="192">
        <v>396</v>
      </c>
      <c r="J15" s="192">
        <v>3322</v>
      </c>
      <c r="K15" s="192">
        <v>3448</v>
      </c>
      <c r="L15" s="192">
        <v>3544</v>
      </c>
      <c r="M15" s="192">
        <v>2802</v>
      </c>
      <c r="N15" s="192">
        <v>3364</v>
      </c>
      <c r="O15" s="192">
        <v>2989</v>
      </c>
      <c r="P15" s="192">
        <v>2906</v>
      </c>
      <c r="Q15" s="192">
        <v>3012</v>
      </c>
      <c r="R15" s="192">
        <v>3570</v>
      </c>
      <c r="S15" s="192">
        <v>3700</v>
      </c>
      <c r="T15" s="192">
        <v>3440</v>
      </c>
    </row>
    <row r="16" spans="1:20" ht="17.25" customHeight="1">
      <c r="A16" s="197" t="s">
        <v>179</v>
      </c>
      <c r="B16" s="195">
        <v>1064</v>
      </c>
      <c r="C16" s="195">
        <v>1070</v>
      </c>
      <c r="D16" s="196">
        <v>1158</v>
      </c>
      <c r="E16" s="196">
        <v>1339</v>
      </c>
      <c r="F16" s="192">
        <v>1402</v>
      </c>
      <c r="G16" s="192">
        <v>1282</v>
      </c>
      <c r="H16" s="192">
        <v>1167</v>
      </c>
      <c r="I16" s="192">
        <v>1067</v>
      </c>
      <c r="J16" s="192">
        <v>3604</v>
      </c>
      <c r="K16" s="192">
        <v>2981</v>
      </c>
      <c r="L16" s="192">
        <v>3233</v>
      </c>
      <c r="M16" s="192">
        <v>3347</v>
      </c>
      <c r="N16" s="192">
        <v>3008</v>
      </c>
      <c r="O16" s="192">
        <v>2972</v>
      </c>
      <c r="P16" s="192">
        <v>2549</v>
      </c>
      <c r="Q16" s="192">
        <v>2437</v>
      </c>
      <c r="R16" s="192">
        <v>2888</v>
      </c>
      <c r="S16" s="192">
        <v>2913</v>
      </c>
      <c r="T16" s="192">
        <v>2601</v>
      </c>
    </row>
    <row r="17" spans="1:20" ht="17.25" customHeight="1">
      <c r="A17" s="197" t="s">
        <v>182</v>
      </c>
      <c r="B17" s="195">
        <v>93</v>
      </c>
      <c r="C17" s="195">
        <v>77</v>
      </c>
      <c r="D17" s="196">
        <v>80</v>
      </c>
      <c r="E17" s="196">
        <v>75</v>
      </c>
      <c r="F17" s="192">
        <v>74</v>
      </c>
      <c r="G17" s="192">
        <v>94</v>
      </c>
      <c r="H17" s="192">
        <v>88</v>
      </c>
      <c r="I17" s="192">
        <v>86</v>
      </c>
      <c r="J17" s="192">
        <v>800</v>
      </c>
      <c r="K17" s="192">
        <v>837</v>
      </c>
      <c r="L17" s="192">
        <v>811</v>
      </c>
      <c r="M17" s="192">
        <v>770</v>
      </c>
      <c r="N17" s="192">
        <v>871</v>
      </c>
      <c r="O17" s="192">
        <v>901</v>
      </c>
      <c r="P17" s="192">
        <v>921</v>
      </c>
      <c r="Q17" s="192">
        <v>898</v>
      </c>
      <c r="R17" s="192">
        <v>890</v>
      </c>
      <c r="S17" s="192">
        <v>880</v>
      </c>
      <c r="T17" s="192">
        <v>910</v>
      </c>
    </row>
    <row r="18" spans="1:20" ht="17.25" customHeight="1">
      <c r="A18" s="197" t="s">
        <v>181</v>
      </c>
      <c r="B18" s="195">
        <v>47</v>
      </c>
      <c r="C18" s="195">
        <v>47</v>
      </c>
      <c r="D18" s="196">
        <v>47</v>
      </c>
      <c r="E18" s="196">
        <v>48</v>
      </c>
      <c r="F18" s="192">
        <v>48</v>
      </c>
      <c r="G18" s="192">
        <v>47</v>
      </c>
      <c r="H18" s="192">
        <v>47</v>
      </c>
      <c r="I18" s="192">
        <v>47</v>
      </c>
      <c r="J18" s="192">
        <v>645</v>
      </c>
      <c r="K18" s="192">
        <v>646</v>
      </c>
      <c r="L18" s="192">
        <v>694</v>
      </c>
      <c r="M18" s="192">
        <v>672</v>
      </c>
      <c r="N18" s="192">
        <v>710</v>
      </c>
      <c r="O18" s="192">
        <v>769</v>
      </c>
      <c r="P18" s="192">
        <v>780</v>
      </c>
      <c r="Q18" s="192">
        <v>856</v>
      </c>
      <c r="R18" s="192">
        <v>840</v>
      </c>
      <c r="S18" s="192">
        <v>730</v>
      </c>
      <c r="T18" s="192">
        <v>890</v>
      </c>
    </row>
    <row r="19" spans="1:20" ht="17.25" customHeight="1">
      <c r="A19" s="197" t="s">
        <v>183</v>
      </c>
      <c r="B19" s="198">
        <v>98</v>
      </c>
      <c r="C19" s="198">
        <v>83</v>
      </c>
      <c r="D19" s="199">
        <v>45</v>
      </c>
      <c r="E19" s="199">
        <v>49</v>
      </c>
      <c r="F19" s="192">
        <v>61</v>
      </c>
      <c r="G19" s="192">
        <v>56</v>
      </c>
      <c r="H19" s="192">
        <v>39</v>
      </c>
      <c r="I19" s="192">
        <v>86</v>
      </c>
      <c r="J19" s="192">
        <v>580</v>
      </c>
      <c r="K19" s="192">
        <v>559</v>
      </c>
      <c r="L19" s="192">
        <v>608</v>
      </c>
      <c r="M19" s="192">
        <v>589</v>
      </c>
      <c r="N19" s="192">
        <v>621</v>
      </c>
      <c r="O19" s="192">
        <v>718</v>
      </c>
      <c r="P19" s="192">
        <v>790</v>
      </c>
      <c r="Q19" s="192">
        <v>813</v>
      </c>
      <c r="R19" s="192">
        <v>790</v>
      </c>
      <c r="S19" s="192">
        <v>850</v>
      </c>
      <c r="T19" s="192">
        <v>850</v>
      </c>
    </row>
    <row r="20" spans="1:20" ht="17.25" customHeight="1">
      <c r="A20" s="200" t="s">
        <v>184</v>
      </c>
      <c r="B20" s="201">
        <f>SUM(B7:B19)</f>
        <v>13555</v>
      </c>
      <c r="C20" s="201">
        <f t="shared" ref="C20:I20" si="0">SUM(C7:C19)</f>
        <v>12887</v>
      </c>
      <c r="D20" s="201">
        <f t="shared" si="0"/>
        <v>12574</v>
      </c>
      <c r="E20" s="201">
        <f t="shared" si="0"/>
        <v>12894</v>
      </c>
      <c r="F20" s="201">
        <f t="shared" si="0"/>
        <v>14513</v>
      </c>
      <c r="G20" s="201">
        <f t="shared" si="0"/>
        <v>15909</v>
      </c>
      <c r="H20" s="201">
        <f t="shared" si="0"/>
        <v>16394</v>
      </c>
      <c r="I20" s="201">
        <f t="shared" si="0"/>
        <v>17672</v>
      </c>
      <c r="J20" s="201">
        <f>SUM(J7:J19)</f>
        <v>148189</v>
      </c>
      <c r="K20" s="201">
        <f t="shared" ref="K20:S20" si="1">SUM(K7:K19)</f>
        <v>155245</v>
      </c>
      <c r="L20" s="201">
        <f t="shared" si="1"/>
        <v>162447</v>
      </c>
      <c r="M20" s="201">
        <f t="shared" si="1"/>
        <v>165655</v>
      </c>
      <c r="N20" s="201">
        <f t="shared" si="1"/>
        <v>175925</v>
      </c>
      <c r="O20" s="201">
        <f t="shared" si="1"/>
        <v>182293.3</v>
      </c>
      <c r="P20" s="201">
        <f t="shared" si="1"/>
        <v>180741.5</v>
      </c>
      <c r="Q20" s="201">
        <f t="shared" si="1"/>
        <v>196636.2</v>
      </c>
      <c r="R20" s="201">
        <f t="shared" si="1"/>
        <v>205998</v>
      </c>
      <c r="S20" s="201">
        <f t="shared" si="1"/>
        <v>209390</v>
      </c>
      <c r="T20" s="201">
        <f>SUM(T7:T19)</f>
        <v>208523</v>
      </c>
    </row>
    <row r="21" spans="1:20" ht="17.25" customHeight="1">
      <c r="A21" s="322" t="s">
        <v>186</v>
      </c>
      <c r="B21" s="193">
        <v>683</v>
      </c>
      <c r="C21" s="193">
        <v>656</v>
      </c>
      <c r="D21" s="203">
        <v>550</v>
      </c>
      <c r="E21" s="203">
        <v>569</v>
      </c>
      <c r="F21" s="192">
        <v>532</v>
      </c>
      <c r="G21" s="192">
        <v>526</v>
      </c>
      <c r="H21" s="192">
        <v>613</v>
      </c>
      <c r="I21" s="192">
        <v>588</v>
      </c>
      <c r="J21" s="192">
        <v>8331</v>
      </c>
      <c r="K21" s="192">
        <v>8455</v>
      </c>
      <c r="L21" s="192">
        <v>9190</v>
      </c>
      <c r="M21" s="192">
        <v>9319</v>
      </c>
      <c r="N21" s="192">
        <v>9189</v>
      </c>
      <c r="O21" s="192">
        <v>9298</v>
      </c>
      <c r="P21" s="192">
        <v>9471</v>
      </c>
      <c r="Q21" s="192">
        <v>9627</v>
      </c>
      <c r="R21" s="192">
        <v>9930</v>
      </c>
      <c r="S21" s="192">
        <v>9850</v>
      </c>
      <c r="T21" s="192">
        <v>9760</v>
      </c>
    </row>
    <row r="22" spans="1:20" ht="17.25" customHeight="1">
      <c r="A22" s="323" t="s">
        <v>185</v>
      </c>
      <c r="B22" s="192">
        <v>636</v>
      </c>
      <c r="C22" s="192">
        <v>688</v>
      </c>
      <c r="D22" s="197">
        <v>719</v>
      </c>
      <c r="E22" s="197">
        <v>622</v>
      </c>
      <c r="F22" s="192">
        <v>609</v>
      </c>
      <c r="G22" s="192">
        <v>616</v>
      </c>
      <c r="H22" s="192">
        <v>608</v>
      </c>
      <c r="I22" s="192">
        <v>646</v>
      </c>
      <c r="J22" s="192">
        <v>7187</v>
      </c>
      <c r="K22" s="192">
        <v>7456</v>
      </c>
      <c r="L22" s="192">
        <v>7644</v>
      </c>
      <c r="M22" s="192">
        <v>7754</v>
      </c>
      <c r="N22" s="192">
        <v>7927</v>
      </c>
      <c r="O22" s="192">
        <v>8079</v>
      </c>
      <c r="P22" s="192">
        <v>8206</v>
      </c>
      <c r="Q22" s="192">
        <v>8226</v>
      </c>
      <c r="R22" s="192">
        <v>8370</v>
      </c>
      <c r="S22" s="192">
        <v>8490</v>
      </c>
      <c r="T22" s="192">
        <v>8680</v>
      </c>
    </row>
    <row r="23" spans="1:20" ht="17.25" customHeight="1">
      <c r="A23" s="323" t="s">
        <v>188</v>
      </c>
      <c r="B23" s="192">
        <v>216</v>
      </c>
      <c r="C23" s="192">
        <v>174</v>
      </c>
      <c r="D23" s="197">
        <v>141</v>
      </c>
      <c r="E23" s="197">
        <v>235</v>
      </c>
      <c r="F23" s="192">
        <v>245</v>
      </c>
      <c r="G23" s="192">
        <v>167</v>
      </c>
      <c r="H23" s="192">
        <v>191</v>
      </c>
      <c r="I23" s="192">
        <v>448</v>
      </c>
      <c r="J23" s="192">
        <v>7963</v>
      </c>
      <c r="K23" s="192">
        <v>8091</v>
      </c>
      <c r="L23" s="192">
        <v>8244</v>
      </c>
      <c r="M23" s="192">
        <v>8399</v>
      </c>
      <c r="N23" s="192">
        <v>8517</v>
      </c>
      <c r="O23" s="192">
        <v>8537</v>
      </c>
      <c r="P23" s="192">
        <v>8596</v>
      </c>
      <c r="Q23" s="192">
        <v>8766</v>
      </c>
      <c r="R23" s="192">
        <v>8840</v>
      </c>
      <c r="S23" s="192">
        <v>8090</v>
      </c>
      <c r="T23" s="192">
        <v>8090</v>
      </c>
    </row>
    <row r="24" spans="1:20" ht="17.25" customHeight="1">
      <c r="A24" s="323" t="s">
        <v>187</v>
      </c>
      <c r="B24" s="204">
        <v>434</v>
      </c>
      <c r="C24" s="204">
        <v>445</v>
      </c>
      <c r="D24" s="205">
        <v>451</v>
      </c>
      <c r="E24" s="205">
        <v>465</v>
      </c>
      <c r="F24" s="192">
        <v>449</v>
      </c>
      <c r="G24" s="192">
        <v>468</v>
      </c>
      <c r="H24" s="192">
        <v>465</v>
      </c>
      <c r="I24" s="192">
        <v>304</v>
      </c>
      <c r="J24" s="192">
        <v>897</v>
      </c>
      <c r="K24" s="192">
        <v>1078</v>
      </c>
      <c r="L24" s="192">
        <v>941</v>
      </c>
      <c r="M24" s="192">
        <v>941</v>
      </c>
      <c r="N24" s="192">
        <v>917</v>
      </c>
      <c r="O24" s="192">
        <v>909</v>
      </c>
      <c r="P24" s="192">
        <v>894</v>
      </c>
      <c r="Q24" s="192">
        <v>917</v>
      </c>
      <c r="R24" s="192">
        <v>1130</v>
      </c>
      <c r="S24" s="192">
        <v>990</v>
      </c>
      <c r="T24" s="192">
        <v>1000</v>
      </c>
    </row>
    <row r="25" spans="1:20" ht="17.25" customHeight="1">
      <c r="A25" s="200" t="s">
        <v>319</v>
      </c>
      <c r="B25" s="201">
        <f>SUM(B21:B24)</f>
        <v>1969</v>
      </c>
      <c r="C25" s="201">
        <f t="shared" ref="C25:I25" si="2">SUM(C21:C24)</f>
        <v>1963</v>
      </c>
      <c r="D25" s="201">
        <f t="shared" si="2"/>
        <v>1861</v>
      </c>
      <c r="E25" s="201">
        <f t="shared" si="2"/>
        <v>1891</v>
      </c>
      <c r="F25" s="201">
        <f t="shared" si="2"/>
        <v>1835</v>
      </c>
      <c r="G25" s="201">
        <f t="shared" si="2"/>
        <v>1777</v>
      </c>
      <c r="H25" s="201">
        <f>SUM(H21:H24)</f>
        <v>1877</v>
      </c>
      <c r="I25" s="201">
        <f t="shared" si="2"/>
        <v>1986</v>
      </c>
      <c r="J25" s="201">
        <f>SUM(J21:J24)</f>
        <v>24378</v>
      </c>
      <c r="K25" s="201">
        <f t="shared" ref="K25:T25" si="3">SUM(K21:K24)</f>
        <v>25080</v>
      </c>
      <c r="L25" s="201">
        <f t="shared" si="3"/>
        <v>26019</v>
      </c>
      <c r="M25" s="201">
        <f t="shared" si="3"/>
        <v>26413</v>
      </c>
      <c r="N25" s="201">
        <f t="shared" si="3"/>
        <v>26550</v>
      </c>
      <c r="O25" s="201">
        <f t="shared" si="3"/>
        <v>26823</v>
      </c>
      <c r="P25" s="201">
        <f t="shared" si="3"/>
        <v>27167</v>
      </c>
      <c r="Q25" s="201">
        <f t="shared" si="3"/>
        <v>27536</v>
      </c>
      <c r="R25" s="201">
        <f t="shared" si="3"/>
        <v>28270</v>
      </c>
      <c r="S25" s="201">
        <f t="shared" si="3"/>
        <v>27420</v>
      </c>
      <c r="T25" s="201">
        <f t="shared" si="3"/>
        <v>27530</v>
      </c>
    </row>
    <row r="26" spans="1:20" ht="17.25" customHeight="1">
      <c r="A26" s="206" t="s">
        <v>189</v>
      </c>
      <c r="B26" s="201">
        <f>SUM(B20+B25)</f>
        <v>15524</v>
      </c>
      <c r="C26" s="201">
        <f t="shared" ref="C26:I26" si="4">SUM(C20+C25)</f>
        <v>14850</v>
      </c>
      <c r="D26" s="201">
        <f t="shared" si="4"/>
        <v>14435</v>
      </c>
      <c r="E26" s="201">
        <f t="shared" si="4"/>
        <v>14785</v>
      </c>
      <c r="F26" s="201">
        <f t="shared" si="4"/>
        <v>16348</v>
      </c>
      <c r="G26" s="201">
        <f t="shared" si="4"/>
        <v>17686</v>
      </c>
      <c r="H26" s="201">
        <f t="shared" si="4"/>
        <v>18271</v>
      </c>
      <c r="I26" s="201">
        <f t="shared" si="4"/>
        <v>19658</v>
      </c>
      <c r="J26" s="201">
        <f>SUM(J20+J25)</f>
        <v>172567</v>
      </c>
      <c r="K26" s="201">
        <f t="shared" ref="K26:T26" si="5">SUM(K20+K25)</f>
        <v>180325</v>
      </c>
      <c r="L26" s="201">
        <f t="shared" si="5"/>
        <v>188466</v>
      </c>
      <c r="M26" s="201">
        <f t="shared" si="5"/>
        <v>192068</v>
      </c>
      <c r="N26" s="201">
        <f t="shared" si="5"/>
        <v>202475</v>
      </c>
      <c r="O26" s="201">
        <f t="shared" si="5"/>
        <v>209116.3</v>
      </c>
      <c r="P26" s="201">
        <f t="shared" si="5"/>
        <v>207908.5</v>
      </c>
      <c r="Q26" s="201">
        <f t="shared" si="5"/>
        <v>224172.2</v>
      </c>
      <c r="R26" s="201">
        <f t="shared" si="5"/>
        <v>234268</v>
      </c>
      <c r="S26" s="201">
        <f t="shared" si="5"/>
        <v>236810</v>
      </c>
      <c r="T26" s="201">
        <f t="shared" si="5"/>
        <v>236053</v>
      </c>
    </row>
    <row r="27" spans="1:20" ht="17.25" customHeight="1">
      <c r="A27" s="184" t="s">
        <v>312</v>
      </c>
      <c r="B27" s="207"/>
      <c r="C27" s="207"/>
      <c r="D27" s="207"/>
      <c r="E27" s="207"/>
      <c r="F27" s="207"/>
      <c r="G27" s="207"/>
    </row>
    <row r="28" spans="1:20" ht="17.25" customHeight="1">
      <c r="G28" s="208"/>
      <c r="H28" s="208"/>
      <c r="I28" s="208"/>
      <c r="J28" s="208"/>
      <c r="K28" s="208"/>
      <c r="L28" s="208"/>
      <c r="M28" s="208"/>
      <c r="N28" s="208"/>
    </row>
    <row r="29" spans="1:20" ht="17.25" customHeight="1">
      <c r="G29" s="208"/>
      <c r="H29" s="208"/>
      <c r="I29" s="208"/>
      <c r="J29" s="208"/>
      <c r="K29" s="208"/>
      <c r="L29" s="208"/>
      <c r="M29" s="208"/>
      <c r="N29" s="208"/>
    </row>
    <row r="30" spans="1:20" ht="17.25" customHeight="1">
      <c r="G30" s="208"/>
      <c r="H30" s="208"/>
      <c r="I30" s="208"/>
      <c r="J30" s="208"/>
      <c r="K30" s="208"/>
      <c r="L30" s="208"/>
      <c r="M30" s="208"/>
      <c r="N30" s="208"/>
    </row>
    <row r="31" spans="1:20" ht="17.25" customHeight="1">
      <c r="G31" s="208"/>
      <c r="H31" s="208"/>
      <c r="I31" s="208"/>
      <c r="J31" s="208"/>
      <c r="K31" s="208"/>
      <c r="L31" s="208"/>
      <c r="M31" s="208"/>
      <c r="N31" s="208"/>
    </row>
  </sheetData>
  <sortState ref="A7:T19">
    <sortCondition descending="1" ref="T7:T19"/>
  </sortState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1" manualBreakCount="1">
    <brk id="2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0"/>
  <sheetViews>
    <sheetView showOutlineSymbols="0" view="pageBreakPreview" zoomScaleNormal="100" zoomScaleSheetLayoutView="100" workbookViewId="0">
      <selection activeCell="H38" sqref="H38"/>
    </sheetView>
  </sheetViews>
  <sheetFormatPr defaultColWidth="14.5" defaultRowHeight="17.25" customHeight="1"/>
  <cols>
    <col min="1" max="1" width="33" style="184" customWidth="1"/>
    <col min="2" max="9" width="10.6640625" style="184" hidden="1" customWidth="1"/>
    <col min="10" max="20" width="12.1640625" style="184" customWidth="1"/>
    <col min="21" max="16384" width="14.5" style="184"/>
  </cols>
  <sheetData>
    <row r="2" spans="1:20" ht="17.25" customHeight="1">
      <c r="A2" s="613" t="s">
        <v>224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</row>
    <row r="3" spans="1:20" ht="17.25" customHeight="1">
      <c r="A3" s="614" t="s">
        <v>321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1:20" ht="17.25" customHeight="1">
      <c r="A4" s="613" t="s">
        <v>14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</row>
    <row r="6" spans="1:20" ht="17.25" customHeight="1">
      <c r="A6" s="185" t="s">
        <v>317</v>
      </c>
      <c r="B6" s="186">
        <v>2002</v>
      </c>
      <c r="C6" s="187">
        <v>2003</v>
      </c>
      <c r="D6" s="187">
        <v>2004</v>
      </c>
      <c r="E6" s="188">
        <v>2005</v>
      </c>
      <c r="F6" s="188">
        <v>2006</v>
      </c>
      <c r="G6" s="188">
        <v>2007</v>
      </c>
      <c r="H6" s="188">
        <v>2008</v>
      </c>
      <c r="I6" s="188">
        <v>2009</v>
      </c>
      <c r="J6" s="188">
        <v>2010</v>
      </c>
      <c r="K6" s="188">
        <v>2011</v>
      </c>
      <c r="L6" s="188">
        <v>2012</v>
      </c>
      <c r="M6" s="188">
        <v>2013</v>
      </c>
      <c r="N6" s="188">
        <v>2014</v>
      </c>
      <c r="O6" s="188">
        <v>2015</v>
      </c>
      <c r="P6" s="188">
        <v>2016</v>
      </c>
      <c r="Q6" s="188">
        <v>2017</v>
      </c>
      <c r="R6" s="188">
        <v>2018</v>
      </c>
      <c r="S6" s="188">
        <v>2019</v>
      </c>
      <c r="T6" s="188">
        <v>2020</v>
      </c>
    </row>
    <row r="7" spans="1:20" ht="17.25" customHeight="1">
      <c r="A7" s="189" t="s">
        <v>12</v>
      </c>
      <c r="B7" s="190">
        <v>19253</v>
      </c>
      <c r="C7" s="190">
        <v>21890</v>
      </c>
      <c r="D7" s="191">
        <v>24057</v>
      </c>
      <c r="E7" s="191">
        <v>26722</v>
      </c>
      <c r="F7" s="192">
        <v>29223</v>
      </c>
      <c r="G7" s="193">
        <v>29421</v>
      </c>
      <c r="H7" s="193">
        <v>33831</v>
      </c>
      <c r="I7" s="193">
        <v>36135</v>
      </c>
      <c r="J7" s="193">
        <v>37081</v>
      </c>
      <c r="K7" s="193">
        <v>38315</v>
      </c>
      <c r="L7" s="193">
        <v>41028</v>
      </c>
      <c r="M7" s="193">
        <v>43961</v>
      </c>
      <c r="N7" s="193">
        <v>44327</v>
      </c>
      <c r="O7" s="193">
        <v>48047.8</v>
      </c>
      <c r="P7" s="193">
        <v>44828.5</v>
      </c>
      <c r="Q7" s="193">
        <v>50299.1</v>
      </c>
      <c r="R7" s="193">
        <v>51431</v>
      </c>
      <c r="S7" s="193">
        <v>55459</v>
      </c>
      <c r="T7" s="193">
        <v>50251</v>
      </c>
    </row>
    <row r="8" spans="1:20" ht="17.25" customHeight="1">
      <c r="A8" s="194" t="s">
        <v>177</v>
      </c>
      <c r="B8" s="195">
        <v>2221</v>
      </c>
      <c r="C8" s="195">
        <v>2654</v>
      </c>
      <c r="D8" s="196">
        <v>2733</v>
      </c>
      <c r="E8" s="196">
        <v>3120</v>
      </c>
      <c r="F8" s="192">
        <v>4308</v>
      </c>
      <c r="G8" s="192">
        <v>4378</v>
      </c>
      <c r="H8" s="192">
        <v>3918</v>
      </c>
      <c r="I8" s="192">
        <v>5198</v>
      </c>
      <c r="J8" s="192">
        <v>4844</v>
      </c>
      <c r="K8" s="192">
        <v>5381</v>
      </c>
      <c r="L8" s="192">
        <v>7406</v>
      </c>
      <c r="M8" s="192">
        <v>6487</v>
      </c>
      <c r="N8" s="192">
        <v>8182</v>
      </c>
      <c r="O8" s="192">
        <v>7467</v>
      </c>
      <c r="P8" s="192">
        <v>8890</v>
      </c>
      <c r="Q8" s="192">
        <v>10621</v>
      </c>
      <c r="R8" s="192">
        <v>10075</v>
      </c>
      <c r="S8" s="192">
        <v>12159</v>
      </c>
      <c r="T8" s="192">
        <v>13554</v>
      </c>
    </row>
    <row r="9" spans="1:20" ht="17.25" customHeight="1">
      <c r="A9" s="194" t="s">
        <v>234</v>
      </c>
      <c r="B9" s="195">
        <v>8904</v>
      </c>
      <c r="C9" s="195">
        <v>9026</v>
      </c>
      <c r="D9" s="196">
        <v>9052</v>
      </c>
      <c r="E9" s="196">
        <v>9529</v>
      </c>
      <c r="F9" s="192">
        <v>10174</v>
      </c>
      <c r="G9" s="192">
        <v>11241</v>
      </c>
      <c r="H9" s="192">
        <v>10723</v>
      </c>
      <c r="I9" s="192">
        <v>9278</v>
      </c>
      <c r="J9" s="192">
        <v>9838</v>
      </c>
      <c r="K9" s="192">
        <v>9483</v>
      </c>
      <c r="L9" s="192">
        <v>9281</v>
      </c>
      <c r="M9" s="192">
        <v>9509</v>
      </c>
      <c r="N9" s="192">
        <v>9899</v>
      </c>
      <c r="O9" s="192">
        <v>12282</v>
      </c>
      <c r="P9" s="192">
        <v>12279</v>
      </c>
      <c r="Q9" s="192">
        <v>11535</v>
      </c>
      <c r="R9" s="192">
        <v>10933</v>
      </c>
      <c r="S9" s="192">
        <v>12021</v>
      </c>
      <c r="T9" s="192">
        <v>12827</v>
      </c>
    </row>
    <row r="10" spans="1:20" ht="17.25" customHeight="1">
      <c r="A10" s="194" t="s">
        <v>27</v>
      </c>
      <c r="B10" s="195">
        <v>1187</v>
      </c>
      <c r="C10" s="195">
        <v>1039</v>
      </c>
      <c r="D10" s="196">
        <v>1479</v>
      </c>
      <c r="E10" s="196">
        <v>1380</v>
      </c>
      <c r="F10" s="192">
        <v>2068</v>
      </c>
      <c r="G10" s="192">
        <v>2161</v>
      </c>
      <c r="H10" s="192">
        <v>2374</v>
      </c>
      <c r="I10" s="192">
        <v>2657</v>
      </c>
      <c r="J10" s="192">
        <v>3333</v>
      </c>
      <c r="K10" s="192">
        <v>3720</v>
      </c>
      <c r="L10" s="192">
        <v>4111</v>
      </c>
      <c r="M10" s="192">
        <v>4118</v>
      </c>
      <c r="N10" s="192">
        <v>3990</v>
      </c>
      <c r="O10" s="192">
        <v>4134</v>
      </c>
      <c r="P10" s="192">
        <v>4436</v>
      </c>
      <c r="Q10" s="192">
        <v>4532</v>
      </c>
      <c r="R10" s="192">
        <v>4975</v>
      </c>
      <c r="S10" s="192">
        <v>5575</v>
      </c>
      <c r="T10" s="192">
        <v>6026</v>
      </c>
    </row>
    <row r="11" spans="1:20" ht="17.25" customHeight="1">
      <c r="A11" s="194" t="s">
        <v>4</v>
      </c>
      <c r="B11" s="195">
        <v>1579</v>
      </c>
      <c r="C11" s="195">
        <v>1812</v>
      </c>
      <c r="D11" s="196">
        <v>1861</v>
      </c>
      <c r="E11" s="196">
        <v>2119</v>
      </c>
      <c r="F11" s="192">
        <v>2339</v>
      </c>
      <c r="G11" s="192">
        <v>2627</v>
      </c>
      <c r="H11" s="192">
        <v>2641</v>
      </c>
      <c r="I11" s="192">
        <v>3142</v>
      </c>
      <c r="J11" s="192">
        <v>3054</v>
      </c>
      <c r="K11" s="192">
        <v>3041</v>
      </c>
      <c r="L11" s="192">
        <v>3029</v>
      </c>
      <c r="M11" s="192">
        <v>3352</v>
      </c>
      <c r="N11" s="192">
        <v>3129</v>
      </c>
      <c r="O11" s="192">
        <v>3253</v>
      </c>
      <c r="P11" s="192">
        <v>3035</v>
      </c>
      <c r="Q11" s="192">
        <v>3194</v>
      </c>
      <c r="R11" s="192">
        <v>3349</v>
      </c>
      <c r="S11" s="192">
        <v>3586</v>
      </c>
      <c r="T11" s="192">
        <v>3480</v>
      </c>
    </row>
    <row r="12" spans="1:20" ht="17.25" customHeight="1">
      <c r="A12" s="194" t="s">
        <v>179</v>
      </c>
      <c r="B12" s="195">
        <v>1856</v>
      </c>
      <c r="C12" s="195">
        <v>2016</v>
      </c>
      <c r="D12" s="196">
        <v>1818</v>
      </c>
      <c r="E12" s="196">
        <v>2128</v>
      </c>
      <c r="F12" s="192">
        <v>2044</v>
      </c>
      <c r="G12" s="192">
        <v>1993</v>
      </c>
      <c r="H12" s="192">
        <v>1977</v>
      </c>
      <c r="I12" s="192">
        <v>1838</v>
      </c>
      <c r="J12" s="192">
        <v>2381</v>
      </c>
      <c r="K12" s="192">
        <v>1874</v>
      </c>
      <c r="L12" s="192">
        <v>1961</v>
      </c>
      <c r="M12" s="192">
        <v>2018</v>
      </c>
      <c r="N12" s="192">
        <v>1881</v>
      </c>
      <c r="O12" s="192">
        <v>1977</v>
      </c>
      <c r="P12" s="192">
        <v>1631</v>
      </c>
      <c r="Q12" s="192">
        <v>1595</v>
      </c>
      <c r="R12" s="192">
        <v>1916</v>
      </c>
      <c r="S12" s="192">
        <v>2077</v>
      </c>
      <c r="T12" s="192">
        <v>1930</v>
      </c>
    </row>
    <row r="13" spans="1:20" ht="17.25" customHeight="1">
      <c r="A13" s="197" t="s">
        <v>180</v>
      </c>
      <c r="B13" s="195">
        <v>477</v>
      </c>
      <c r="C13" s="195">
        <v>548</v>
      </c>
      <c r="D13" s="196">
        <v>743</v>
      </c>
      <c r="E13" s="196">
        <v>724</v>
      </c>
      <c r="F13" s="192">
        <v>747</v>
      </c>
      <c r="G13" s="192">
        <v>768</v>
      </c>
      <c r="H13" s="192">
        <v>736</v>
      </c>
      <c r="I13" s="192">
        <v>725</v>
      </c>
      <c r="J13" s="192">
        <v>761</v>
      </c>
      <c r="K13" s="192">
        <v>807</v>
      </c>
      <c r="L13" s="192">
        <v>925</v>
      </c>
      <c r="M13" s="192">
        <v>932</v>
      </c>
      <c r="N13" s="192">
        <v>904</v>
      </c>
      <c r="O13" s="192">
        <v>1043</v>
      </c>
      <c r="P13" s="192">
        <v>970</v>
      </c>
      <c r="Q13" s="192">
        <v>939</v>
      </c>
      <c r="R13" s="192">
        <v>1130</v>
      </c>
      <c r="S13" s="192">
        <v>1740</v>
      </c>
      <c r="T13" s="192">
        <v>1500</v>
      </c>
    </row>
    <row r="14" spans="1:20" ht="17.25" customHeight="1">
      <c r="A14" s="197" t="s">
        <v>181</v>
      </c>
      <c r="B14" s="195">
        <v>216</v>
      </c>
      <c r="C14" s="195">
        <v>208</v>
      </c>
      <c r="D14" s="196">
        <v>264</v>
      </c>
      <c r="E14" s="196">
        <v>309</v>
      </c>
      <c r="F14" s="192">
        <v>297</v>
      </c>
      <c r="G14" s="192">
        <v>320</v>
      </c>
      <c r="H14" s="192">
        <v>380</v>
      </c>
      <c r="I14" s="192">
        <v>322</v>
      </c>
      <c r="J14" s="192">
        <v>456</v>
      </c>
      <c r="K14" s="192">
        <v>413</v>
      </c>
      <c r="L14" s="192">
        <v>512</v>
      </c>
      <c r="M14" s="192">
        <v>532</v>
      </c>
      <c r="N14" s="192">
        <v>484</v>
      </c>
      <c r="O14" s="192">
        <v>566</v>
      </c>
      <c r="P14" s="192">
        <v>594</v>
      </c>
      <c r="Q14" s="192">
        <v>620</v>
      </c>
      <c r="R14" s="192">
        <v>640</v>
      </c>
      <c r="S14" s="192">
        <v>600</v>
      </c>
      <c r="T14" s="192">
        <v>640</v>
      </c>
    </row>
    <row r="15" spans="1:20" ht="17.25" customHeight="1">
      <c r="A15" s="197" t="s">
        <v>178</v>
      </c>
      <c r="B15" s="195">
        <v>764</v>
      </c>
      <c r="C15" s="195">
        <v>728</v>
      </c>
      <c r="D15" s="196">
        <v>693</v>
      </c>
      <c r="E15" s="196">
        <v>797</v>
      </c>
      <c r="F15" s="192">
        <v>907</v>
      </c>
      <c r="G15" s="192">
        <v>745</v>
      </c>
      <c r="H15" s="192">
        <v>703</v>
      </c>
      <c r="I15" s="192">
        <v>678</v>
      </c>
      <c r="J15" s="192">
        <v>654</v>
      </c>
      <c r="K15" s="192">
        <v>807</v>
      </c>
      <c r="L15" s="192">
        <v>887</v>
      </c>
      <c r="M15" s="192">
        <v>848</v>
      </c>
      <c r="N15" s="192">
        <v>686</v>
      </c>
      <c r="O15" s="192">
        <v>763</v>
      </c>
      <c r="P15" s="192">
        <v>975</v>
      </c>
      <c r="Q15" s="192">
        <v>983</v>
      </c>
      <c r="R15" s="192">
        <v>700</v>
      </c>
      <c r="S15" s="192">
        <v>660</v>
      </c>
      <c r="T15" s="192">
        <v>620</v>
      </c>
    </row>
    <row r="16" spans="1:20" ht="17.25" customHeight="1">
      <c r="A16" s="197" t="s">
        <v>176</v>
      </c>
      <c r="B16" s="195">
        <v>239</v>
      </c>
      <c r="C16" s="195">
        <v>210</v>
      </c>
      <c r="D16" s="196">
        <v>221</v>
      </c>
      <c r="E16" s="196">
        <v>194</v>
      </c>
      <c r="F16" s="192">
        <v>213</v>
      </c>
      <c r="G16" s="192">
        <v>163</v>
      </c>
      <c r="H16" s="192">
        <v>176</v>
      </c>
      <c r="I16" s="192">
        <v>174</v>
      </c>
      <c r="J16" s="192">
        <v>227</v>
      </c>
      <c r="K16" s="192">
        <v>196</v>
      </c>
      <c r="L16" s="192">
        <v>172</v>
      </c>
      <c r="M16" s="192">
        <v>192</v>
      </c>
      <c r="N16" s="192">
        <v>225</v>
      </c>
      <c r="O16" s="192">
        <v>267</v>
      </c>
      <c r="P16" s="192">
        <v>253</v>
      </c>
      <c r="Q16" s="192">
        <v>243</v>
      </c>
      <c r="R16" s="192">
        <v>270</v>
      </c>
      <c r="S16" s="192">
        <v>330</v>
      </c>
      <c r="T16" s="192">
        <v>380</v>
      </c>
    </row>
    <row r="17" spans="1:20" ht="17.25" customHeight="1">
      <c r="A17" s="194" t="s">
        <v>175</v>
      </c>
      <c r="B17" s="195">
        <v>205</v>
      </c>
      <c r="C17" s="195">
        <v>136</v>
      </c>
      <c r="D17" s="196">
        <v>151</v>
      </c>
      <c r="E17" s="196">
        <v>178</v>
      </c>
      <c r="F17" s="192">
        <v>148</v>
      </c>
      <c r="G17" s="192">
        <v>149</v>
      </c>
      <c r="H17" s="192">
        <v>145</v>
      </c>
      <c r="I17" s="192">
        <v>149</v>
      </c>
      <c r="J17" s="192">
        <v>157</v>
      </c>
      <c r="K17" s="192">
        <v>180</v>
      </c>
      <c r="L17" s="192">
        <v>218</v>
      </c>
      <c r="M17" s="192">
        <v>212</v>
      </c>
      <c r="N17" s="192">
        <v>177</v>
      </c>
      <c r="O17" s="192">
        <v>175</v>
      </c>
      <c r="P17" s="192">
        <v>130</v>
      </c>
      <c r="Q17" s="192">
        <v>124</v>
      </c>
      <c r="R17" s="192">
        <v>140</v>
      </c>
      <c r="S17" s="192">
        <v>170</v>
      </c>
      <c r="T17" s="192">
        <v>140</v>
      </c>
    </row>
    <row r="18" spans="1:20" ht="17.25" customHeight="1">
      <c r="A18" s="197" t="s">
        <v>183</v>
      </c>
      <c r="B18" s="195">
        <v>95</v>
      </c>
      <c r="C18" s="195">
        <v>105</v>
      </c>
      <c r="D18" s="196">
        <v>97</v>
      </c>
      <c r="E18" s="196">
        <v>112</v>
      </c>
      <c r="F18" s="192">
        <v>113</v>
      </c>
      <c r="G18" s="192">
        <v>116</v>
      </c>
      <c r="H18" s="192">
        <v>85</v>
      </c>
      <c r="I18" s="192">
        <v>90</v>
      </c>
      <c r="J18" s="192">
        <v>96</v>
      </c>
      <c r="K18" s="192">
        <v>99</v>
      </c>
      <c r="L18" s="192">
        <v>97</v>
      </c>
      <c r="M18" s="192">
        <v>82</v>
      </c>
      <c r="N18" s="192">
        <v>80</v>
      </c>
      <c r="O18" s="192">
        <v>92</v>
      </c>
      <c r="P18" s="192">
        <v>98</v>
      </c>
      <c r="Q18" s="192">
        <v>113</v>
      </c>
      <c r="R18" s="192">
        <v>110</v>
      </c>
      <c r="S18" s="192">
        <v>130</v>
      </c>
      <c r="T18" s="192">
        <v>130</v>
      </c>
    </row>
    <row r="19" spans="1:20" ht="17.25" customHeight="1">
      <c r="A19" s="197" t="s">
        <v>182</v>
      </c>
      <c r="B19" s="198">
        <v>29</v>
      </c>
      <c r="C19" s="198">
        <v>30</v>
      </c>
      <c r="D19" s="199">
        <v>35</v>
      </c>
      <c r="E19" s="199">
        <v>36</v>
      </c>
      <c r="F19" s="192">
        <v>34</v>
      </c>
      <c r="G19" s="192">
        <v>36</v>
      </c>
      <c r="H19" s="192">
        <v>34</v>
      </c>
      <c r="I19" s="192">
        <v>33</v>
      </c>
      <c r="J19" s="192">
        <v>35</v>
      </c>
      <c r="K19" s="192">
        <v>35</v>
      </c>
      <c r="L19" s="192">
        <v>36</v>
      </c>
      <c r="M19" s="192">
        <v>38</v>
      </c>
      <c r="N19" s="192">
        <v>38</v>
      </c>
      <c r="O19" s="192">
        <v>40</v>
      </c>
      <c r="P19" s="192">
        <v>41</v>
      </c>
      <c r="Q19" s="192">
        <v>44</v>
      </c>
      <c r="R19" s="192">
        <v>50</v>
      </c>
      <c r="S19" s="192">
        <v>40</v>
      </c>
      <c r="T19" s="192">
        <v>50</v>
      </c>
    </row>
    <row r="20" spans="1:20" ht="17.25" customHeight="1">
      <c r="A20" s="200" t="s">
        <v>184</v>
      </c>
      <c r="B20" s="201">
        <f t="shared" ref="B20:I20" si="0">SUM(B7:B19)</f>
        <v>37025</v>
      </c>
      <c r="C20" s="201">
        <f t="shared" si="0"/>
        <v>40402</v>
      </c>
      <c r="D20" s="201">
        <f t="shared" si="0"/>
        <v>43204</v>
      </c>
      <c r="E20" s="201">
        <f t="shared" si="0"/>
        <v>47348</v>
      </c>
      <c r="F20" s="201">
        <f t="shared" si="0"/>
        <v>52615</v>
      </c>
      <c r="G20" s="201">
        <f t="shared" si="0"/>
        <v>54118</v>
      </c>
      <c r="H20" s="201">
        <f t="shared" si="0"/>
        <v>57723</v>
      </c>
      <c r="I20" s="201">
        <f t="shared" si="0"/>
        <v>60419</v>
      </c>
      <c r="J20" s="201">
        <f>SUM(J7:J19)</f>
        <v>62917</v>
      </c>
      <c r="K20" s="201">
        <f t="shared" ref="K20:T20" si="1">SUM(K7:K19)</f>
        <v>64351</v>
      </c>
      <c r="L20" s="201">
        <f t="shared" si="1"/>
        <v>69663</v>
      </c>
      <c r="M20" s="201">
        <f t="shared" si="1"/>
        <v>72281</v>
      </c>
      <c r="N20" s="201">
        <f t="shared" si="1"/>
        <v>74002</v>
      </c>
      <c r="O20" s="201">
        <f t="shared" si="1"/>
        <v>80106.8</v>
      </c>
      <c r="P20" s="201">
        <f t="shared" si="1"/>
        <v>78160.5</v>
      </c>
      <c r="Q20" s="201">
        <f t="shared" si="1"/>
        <v>84842.1</v>
      </c>
      <c r="R20" s="201">
        <f t="shared" si="1"/>
        <v>85719</v>
      </c>
      <c r="S20" s="201">
        <f t="shared" si="1"/>
        <v>94547</v>
      </c>
      <c r="T20" s="201">
        <f t="shared" si="1"/>
        <v>91528</v>
      </c>
    </row>
    <row r="21" spans="1:20" ht="17.25" customHeight="1">
      <c r="A21" s="202" t="s">
        <v>186</v>
      </c>
      <c r="B21" s="193">
        <v>2218</v>
      </c>
      <c r="C21" s="193">
        <v>2129</v>
      </c>
      <c r="D21" s="203">
        <v>2089</v>
      </c>
      <c r="E21" s="203">
        <v>2058</v>
      </c>
      <c r="F21" s="192">
        <v>2201</v>
      </c>
      <c r="G21" s="192">
        <v>2223</v>
      </c>
      <c r="H21" s="192">
        <v>2190</v>
      </c>
      <c r="I21" s="192">
        <v>1936</v>
      </c>
      <c r="J21" s="192">
        <v>2062</v>
      </c>
      <c r="K21" s="192">
        <v>1934</v>
      </c>
      <c r="L21" s="192">
        <v>1605</v>
      </c>
      <c r="M21" s="192">
        <v>1593</v>
      </c>
      <c r="N21" s="192">
        <v>1568</v>
      </c>
      <c r="O21" s="192">
        <v>1590</v>
      </c>
      <c r="P21" s="192">
        <v>1592</v>
      </c>
      <c r="Q21" s="192">
        <v>1736</v>
      </c>
      <c r="R21" s="192">
        <v>1820</v>
      </c>
      <c r="S21" s="192">
        <v>1970</v>
      </c>
      <c r="T21" s="192">
        <v>2150</v>
      </c>
    </row>
    <row r="22" spans="1:20" ht="17.25" customHeight="1">
      <c r="A22" s="197" t="s">
        <v>185</v>
      </c>
      <c r="B22" s="192">
        <v>721</v>
      </c>
      <c r="C22" s="192">
        <v>752</v>
      </c>
      <c r="D22" s="197">
        <v>764</v>
      </c>
      <c r="E22" s="197">
        <v>750</v>
      </c>
      <c r="F22" s="192">
        <v>752</v>
      </c>
      <c r="G22" s="192">
        <v>749</v>
      </c>
      <c r="H22" s="192">
        <v>683</v>
      </c>
      <c r="I22" s="192">
        <v>775</v>
      </c>
      <c r="J22" s="192">
        <v>711</v>
      </c>
      <c r="K22" s="192">
        <v>729</v>
      </c>
      <c r="L22" s="192">
        <v>785</v>
      </c>
      <c r="M22" s="192">
        <v>780</v>
      </c>
      <c r="N22" s="192">
        <v>867</v>
      </c>
      <c r="O22" s="192">
        <v>801</v>
      </c>
      <c r="P22" s="192">
        <v>847</v>
      </c>
      <c r="Q22" s="192">
        <v>760</v>
      </c>
      <c r="R22" s="192">
        <v>830</v>
      </c>
      <c r="S22" s="192">
        <v>960</v>
      </c>
      <c r="T22" s="192">
        <v>970</v>
      </c>
    </row>
    <row r="23" spans="1:20" ht="17.25" customHeight="1">
      <c r="A23" s="197" t="s">
        <v>187</v>
      </c>
      <c r="B23" s="192">
        <v>514</v>
      </c>
      <c r="C23" s="192">
        <v>605</v>
      </c>
      <c r="D23" s="197">
        <v>660</v>
      </c>
      <c r="E23" s="197">
        <v>679</v>
      </c>
      <c r="F23" s="192">
        <v>682</v>
      </c>
      <c r="G23" s="192">
        <v>789</v>
      </c>
      <c r="H23" s="192">
        <v>740</v>
      </c>
      <c r="I23" s="192">
        <v>853</v>
      </c>
      <c r="J23" s="192">
        <v>798</v>
      </c>
      <c r="K23" s="192">
        <v>802</v>
      </c>
      <c r="L23" s="192">
        <v>912</v>
      </c>
      <c r="M23" s="192">
        <v>723</v>
      </c>
      <c r="N23" s="192">
        <v>759</v>
      </c>
      <c r="O23" s="192">
        <v>764</v>
      </c>
      <c r="P23" s="192">
        <v>772</v>
      </c>
      <c r="Q23" s="192">
        <v>807</v>
      </c>
      <c r="R23" s="192">
        <v>890</v>
      </c>
      <c r="S23" s="192">
        <v>960</v>
      </c>
      <c r="T23" s="192">
        <v>950</v>
      </c>
    </row>
    <row r="24" spans="1:20" ht="17.25" customHeight="1">
      <c r="A24" s="197" t="s">
        <v>188</v>
      </c>
      <c r="B24" s="204">
        <v>127</v>
      </c>
      <c r="C24" s="204">
        <v>139</v>
      </c>
      <c r="D24" s="205">
        <v>138</v>
      </c>
      <c r="E24" s="205">
        <v>126</v>
      </c>
      <c r="F24" s="192">
        <v>111</v>
      </c>
      <c r="G24" s="192">
        <v>113</v>
      </c>
      <c r="H24" s="192">
        <v>236</v>
      </c>
      <c r="I24" s="192">
        <v>112</v>
      </c>
      <c r="J24" s="192">
        <v>113</v>
      </c>
      <c r="K24" s="192">
        <v>115</v>
      </c>
      <c r="L24" s="192">
        <v>115</v>
      </c>
      <c r="M24" s="192">
        <v>112</v>
      </c>
      <c r="N24" s="192">
        <v>124</v>
      </c>
      <c r="O24" s="192">
        <v>122</v>
      </c>
      <c r="P24" s="192">
        <v>107</v>
      </c>
      <c r="Q24" s="192">
        <v>119</v>
      </c>
      <c r="R24" s="192">
        <v>120</v>
      </c>
      <c r="S24" s="192">
        <v>160</v>
      </c>
      <c r="T24" s="192">
        <v>160</v>
      </c>
    </row>
    <row r="25" spans="1:20" ht="17.25" customHeight="1">
      <c r="A25" s="200" t="s">
        <v>319</v>
      </c>
      <c r="B25" s="201">
        <f>SUM(B21:B24)</f>
        <v>3580</v>
      </c>
      <c r="C25" s="201">
        <f t="shared" ref="C25:I25" si="2">SUM(C21:C24)</f>
        <v>3625</v>
      </c>
      <c r="D25" s="201">
        <f t="shared" si="2"/>
        <v>3651</v>
      </c>
      <c r="E25" s="201">
        <f t="shared" si="2"/>
        <v>3613</v>
      </c>
      <c r="F25" s="201">
        <f t="shared" si="2"/>
        <v>3746</v>
      </c>
      <c r="G25" s="201">
        <f t="shared" si="2"/>
        <v>3874</v>
      </c>
      <c r="H25" s="201">
        <f t="shared" si="2"/>
        <v>3849</v>
      </c>
      <c r="I25" s="201">
        <f t="shared" si="2"/>
        <v>3676</v>
      </c>
      <c r="J25" s="201">
        <f>SUM(J21:J24)</f>
        <v>3684</v>
      </c>
      <c r="K25" s="201">
        <f t="shared" ref="K25:T25" si="3">SUM(K21:K24)</f>
        <v>3580</v>
      </c>
      <c r="L25" s="201">
        <f t="shared" si="3"/>
        <v>3417</v>
      </c>
      <c r="M25" s="201">
        <f t="shared" si="3"/>
        <v>3208</v>
      </c>
      <c r="N25" s="201">
        <f t="shared" si="3"/>
        <v>3318</v>
      </c>
      <c r="O25" s="201">
        <f t="shared" si="3"/>
        <v>3277</v>
      </c>
      <c r="P25" s="201">
        <f t="shared" si="3"/>
        <v>3318</v>
      </c>
      <c r="Q25" s="201">
        <f t="shared" si="3"/>
        <v>3422</v>
      </c>
      <c r="R25" s="201">
        <f t="shared" si="3"/>
        <v>3660</v>
      </c>
      <c r="S25" s="201">
        <f t="shared" si="3"/>
        <v>4050</v>
      </c>
      <c r="T25" s="201">
        <f t="shared" si="3"/>
        <v>4230</v>
      </c>
    </row>
    <row r="26" spans="1:20" ht="17.25" customHeight="1">
      <c r="A26" s="206" t="s">
        <v>189</v>
      </c>
      <c r="B26" s="201">
        <f>SUM(B20+B25)</f>
        <v>40605</v>
      </c>
      <c r="C26" s="201">
        <f t="shared" ref="C26:I26" si="4">SUM(C20+C25)</f>
        <v>44027</v>
      </c>
      <c r="D26" s="201">
        <f t="shared" si="4"/>
        <v>46855</v>
      </c>
      <c r="E26" s="201">
        <f t="shared" si="4"/>
        <v>50961</v>
      </c>
      <c r="F26" s="201">
        <f t="shared" si="4"/>
        <v>56361</v>
      </c>
      <c r="G26" s="201">
        <f t="shared" si="4"/>
        <v>57992</v>
      </c>
      <c r="H26" s="201">
        <f t="shared" si="4"/>
        <v>61572</v>
      </c>
      <c r="I26" s="201">
        <f t="shared" si="4"/>
        <v>64095</v>
      </c>
      <c r="J26" s="201">
        <f>SUM(J20+J25)</f>
        <v>66601</v>
      </c>
      <c r="K26" s="201">
        <f t="shared" ref="K26:T26" si="5">SUM(K20+K25)</f>
        <v>67931</v>
      </c>
      <c r="L26" s="201">
        <f t="shared" si="5"/>
        <v>73080</v>
      </c>
      <c r="M26" s="201">
        <f t="shared" si="5"/>
        <v>75489</v>
      </c>
      <c r="N26" s="201">
        <f t="shared" si="5"/>
        <v>77320</v>
      </c>
      <c r="O26" s="201">
        <f t="shared" si="5"/>
        <v>83383.8</v>
      </c>
      <c r="P26" s="201">
        <f t="shared" si="5"/>
        <v>81478.5</v>
      </c>
      <c r="Q26" s="201">
        <f t="shared" si="5"/>
        <v>88264.1</v>
      </c>
      <c r="R26" s="201">
        <f t="shared" si="5"/>
        <v>89379</v>
      </c>
      <c r="S26" s="201">
        <f t="shared" si="5"/>
        <v>98597</v>
      </c>
      <c r="T26" s="201">
        <f t="shared" si="5"/>
        <v>95758</v>
      </c>
    </row>
    <row r="27" spans="1:20" ht="17.25" customHeight="1">
      <c r="A27" s="184" t="s">
        <v>313</v>
      </c>
      <c r="B27" s="207"/>
      <c r="C27" s="207"/>
      <c r="D27" s="207"/>
      <c r="E27" s="207"/>
      <c r="F27" s="207"/>
      <c r="G27" s="207"/>
    </row>
    <row r="28" spans="1:20" ht="17.25" customHeight="1">
      <c r="G28" s="208"/>
      <c r="H28" s="208"/>
      <c r="I28" s="208"/>
      <c r="J28" s="208"/>
      <c r="K28" s="208"/>
      <c r="L28" s="208"/>
      <c r="M28" s="208"/>
      <c r="N28" s="208"/>
    </row>
    <row r="29" spans="1:20" ht="17.25" customHeight="1">
      <c r="G29" s="208"/>
      <c r="H29" s="208"/>
      <c r="I29" s="208"/>
      <c r="J29" s="208"/>
      <c r="K29" s="208"/>
      <c r="L29" s="208"/>
      <c r="M29" s="208"/>
      <c r="N29" s="208"/>
    </row>
    <row r="30" spans="1:20" ht="17.25" customHeight="1">
      <c r="G30" s="208"/>
      <c r="H30" s="208"/>
      <c r="I30" s="208"/>
      <c r="J30" s="208"/>
      <c r="K30" s="208"/>
      <c r="L30" s="208"/>
      <c r="M30" s="208"/>
      <c r="N30" s="208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1" manualBreakCount="1">
    <brk id="2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9"/>
  <sheetViews>
    <sheetView showOutlineSymbols="0" view="pageBreakPreview" zoomScaleNormal="100" zoomScaleSheetLayoutView="100" workbookViewId="0">
      <selection activeCell="H38" sqref="H38"/>
    </sheetView>
  </sheetViews>
  <sheetFormatPr defaultColWidth="14.5" defaultRowHeight="17.25" customHeight="1"/>
  <cols>
    <col min="1" max="1" width="32.33203125" style="184" customWidth="1"/>
    <col min="2" max="9" width="10.6640625" style="184" hidden="1" customWidth="1"/>
    <col min="10" max="20" width="12.5" style="184" customWidth="1"/>
    <col min="21" max="16384" width="14.5" style="184"/>
  </cols>
  <sheetData>
    <row r="2" spans="1:20" ht="17.25" customHeight="1">
      <c r="A2" s="613" t="s">
        <v>225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</row>
    <row r="3" spans="1:20" ht="17.25" customHeight="1">
      <c r="A3" s="614" t="s">
        <v>322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1:20" ht="17.25" customHeight="1">
      <c r="A4" s="613" t="s">
        <v>14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</row>
    <row r="6" spans="1:20" ht="17.25" customHeight="1">
      <c r="A6" s="185" t="s">
        <v>317</v>
      </c>
      <c r="B6" s="186">
        <v>2002</v>
      </c>
      <c r="C6" s="187">
        <v>2003</v>
      </c>
      <c r="D6" s="187">
        <v>2004</v>
      </c>
      <c r="E6" s="188">
        <v>2005</v>
      </c>
      <c r="F6" s="188">
        <v>2006</v>
      </c>
      <c r="G6" s="188">
        <v>2007</v>
      </c>
      <c r="H6" s="188">
        <v>2008</v>
      </c>
      <c r="I6" s="188">
        <v>2009</v>
      </c>
      <c r="J6" s="188">
        <v>2010</v>
      </c>
      <c r="K6" s="188">
        <v>2011</v>
      </c>
      <c r="L6" s="188">
        <v>2012</v>
      </c>
      <c r="M6" s="188">
        <v>2013</v>
      </c>
      <c r="N6" s="188">
        <v>2014</v>
      </c>
      <c r="O6" s="188">
        <v>2015</v>
      </c>
      <c r="P6" s="188">
        <v>2016</v>
      </c>
      <c r="Q6" s="188">
        <v>2017</v>
      </c>
      <c r="R6" s="188">
        <v>2018</v>
      </c>
      <c r="S6" s="188">
        <v>2019</v>
      </c>
      <c r="T6" s="188">
        <v>2020</v>
      </c>
    </row>
    <row r="7" spans="1:20" ht="17.25" customHeight="1">
      <c r="A7" s="189" t="s">
        <v>12</v>
      </c>
      <c r="B7" s="190">
        <v>19415</v>
      </c>
      <c r="C7" s="190">
        <v>21911</v>
      </c>
      <c r="D7" s="191">
        <v>24244</v>
      </c>
      <c r="E7" s="191">
        <v>26511</v>
      </c>
      <c r="F7" s="192">
        <v>30000</v>
      </c>
      <c r="G7" s="193">
        <v>29824</v>
      </c>
      <c r="H7" s="193">
        <v>33677</v>
      </c>
      <c r="I7" s="193">
        <v>36140</v>
      </c>
      <c r="J7" s="193">
        <v>36487</v>
      </c>
      <c r="K7" s="193">
        <v>39146</v>
      </c>
      <c r="L7" s="193">
        <v>40647</v>
      </c>
      <c r="M7" s="193">
        <v>43816</v>
      </c>
      <c r="N7" s="193">
        <v>44448</v>
      </c>
      <c r="O7" s="193">
        <v>48760.7</v>
      </c>
      <c r="P7" s="193">
        <v>44392.9</v>
      </c>
      <c r="Q7" s="193">
        <v>51098.5</v>
      </c>
      <c r="R7" s="193">
        <v>52206</v>
      </c>
      <c r="S7" s="193">
        <v>54967</v>
      </c>
      <c r="T7" s="193">
        <v>50760</v>
      </c>
    </row>
    <row r="8" spans="1:20" ht="17.25" customHeight="1">
      <c r="A8" s="194" t="s">
        <v>177</v>
      </c>
      <c r="B8" s="195">
        <v>1776</v>
      </c>
      <c r="C8" s="195">
        <v>2036</v>
      </c>
      <c r="D8" s="196">
        <v>1844</v>
      </c>
      <c r="E8" s="196">
        <v>2295</v>
      </c>
      <c r="F8" s="192">
        <v>1987</v>
      </c>
      <c r="G8" s="192">
        <v>1996</v>
      </c>
      <c r="H8" s="192">
        <v>1883</v>
      </c>
      <c r="I8" s="192">
        <v>1862</v>
      </c>
      <c r="J8" s="192">
        <v>4784</v>
      </c>
      <c r="K8" s="192">
        <v>5493</v>
      </c>
      <c r="L8" s="192">
        <v>7383</v>
      </c>
      <c r="M8" s="192">
        <v>6573</v>
      </c>
      <c r="N8" s="192">
        <v>8089</v>
      </c>
      <c r="O8" s="192">
        <v>7519</v>
      </c>
      <c r="P8" s="192">
        <v>8976</v>
      </c>
      <c r="Q8" s="192">
        <v>10584</v>
      </c>
      <c r="R8" s="192">
        <v>10157</v>
      </c>
      <c r="S8" s="192">
        <v>12349</v>
      </c>
      <c r="T8" s="192">
        <v>13631</v>
      </c>
    </row>
    <row r="9" spans="1:20" ht="17.25" customHeight="1">
      <c r="A9" s="194" t="s">
        <v>234</v>
      </c>
      <c r="B9" s="195">
        <v>2265</v>
      </c>
      <c r="C9" s="195">
        <v>2593</v>
      </c>
      <c r="D9" s="196">
        <v>2770</v>
      </c>
      <c r="E9" s="196">
        <v>3115</v>
      </c>
      <c r="F9" s="192">
        <v>4470</v>
      </c>
      <c r="G9" s="192">
        <v>4295</v>
      </c>
      <c r="H9" s="192">
        <v>4081</v>
      </c>
      <c r="I9" s="192">
        <v>5175</v>
      </c>
      <c r="J9" s="192">
        <v>10212</v>
      </c>
      <c r="K9" s="192">
        <v>9378</v>
      </c>
      <c r="L9" s="192">
        <v>9427</v>
      </c>
      <c r="M9" s="192">
        <v>9646</v>
      </c>
      <c r="N9" s="192">
        <v>9876</v>
      </c>
      <c r="O9" s="192">
        <v>12628</v>
      </c>
      <c r="P9" s="192">
        <v>12103</v>
      </c>
      <c r="Q9" s="192">
        <v>11285</v>
      </c>
      <c r="R9" s="192">
        <v>11152</v>
      </c>
      <c r="S9" s="192">
        <v>12243</v>
      </c>
      <c r="T9" s="192">
        <v>12872</v>
      </c>
    </row>
    <row r="10" spans="1:20" ht="17.25" customHeight="1">
      <c r="A10" s="197" t="s">
        <v>27</v>
      </c>
      <c r="B10" s="195">
        <v>469</v>
      </c>
      <c r="C10" s="195">
        <v>548</v>
      </c>
      <c r="D10" s="196">
        <v>744</v>
      </c>
      <c r="E10" s="196">
        <v>748</v>
      </c>
      <c r="F10" s="192">
        <v>733</v>
      </c>
      <c r="G10" s="192">
        <v>761</v>
      </c>
      <c r="H10" s="192">
        <v>742</v>
      </c>
      <c r="I10" s="192">
        <v>712</v>
      </c>
      <c r="J10" s="192">
        <v>3433</v>
      </c>
      <c r="K10" s="192">
        <v>3741</v>
      </c>
      <c r="L10" s="192">
        <v>4105</v>
      </c>
      <c r="M10" s="192">
        <v>4106</v>
      </c>
      <c r="N10" s="192">
        <v>4021</v>
      </c>
      <c r="O10" s="192">
        <v>4203</v>
      </c>
      <c r="P10" s="192">
        <v>4404</v>
      </c>
      <c r="Q10" s="192">
        <v>4577</v>
      </c>
      <c r="R10" s="192">
        <v>5009</v>
      </c>
      <c r="S10" s="192">
        <v>5508</v>
      </c>
      <c r="T10" s="192">
        <v>6091</v>
      </c>
    </row>
    <row r="11" spans="1:20" ht="17.25" customHeight="1">
      <c r="A11" s="194" t="s">
        <v>4</v>
      </c>
      <c r="B11" s="195">
        <v>8716</v>
      </c>
      <c r="C11" s="195">
        <v>9327</v>
      </c>
      <c r="D11" s="196">
        <v>9101</v>
      </c>
      <c r="E11" s="196">
        <v>9779</v>
      </c>
      <c r="F11" s="192">
        <v>10435</v>
      </c>
      <c r="G11" s="192">
        <v>11241</v>
      </c>
      <c r="H11" s="192">
        <v>10102</v>
      </c>
      <c r="I11" s="192">
        <v>9292</v>
      </c>
      <c r="J11" s="192">
        <v>3072</v>
      </c>
      <c r="K11" s="192">
        <v>3116</v>
      </c>
      <c r="L11" s="192">
        <v>3060</v>
      </c>
      <c r="M11" s="192">
        <v>3272</v>
      </c>
      <c r="N11" s="192">
        <v>3161</v>
      </c>
      <c r="O11" s="192">
        <v>3316</v>
      </c>
      <c r="P11" s="192">
        <v>2997</v>
      </c>
      <c r="Q11" s="192">
        <v>3253</v>
      </c>
      <c r="R11" s="192">
        <v>3297</v>
      </c>
      <c r="S11" s="192">
        <v>3650</v>
      </c>
      <c r="T11" s="192">
        <v>3464</v>
      </c>
    </row>
    <row r="12" spans="1:20" ht="17.25" customHeight="1">
      <c r="A12" s="197" t="s">
        <v>179</v>
      </c>
      <c r="B12" s="195">
        <v>202</v>
      </c>
      <c r="C12" s="195">
        <v>205</v>
      </c>
      <c r="D12" s="196">
        <v>279</v>
      </c>
      <c r="E12" s="196">
        <v>306</v>
      </c>
      <c r="F12" s="192">
        <v>314</v>
      </c>
      <c r="G12" s="192">
        <v>323</v>
      </c>
      <c r="H12" s="192">
        <v>367</v>
      </c>
      <c r="I12" s="192">
        <v>317</v>
      </c>
      <c r="J12" s="192">
        <v>2395</v>
      </c>
      <c r="K12" s="192">
        <v>1862</v>
      </c>
      <c r="L12" s="192">
        <v>1957</v>
      </c>
      <c r="M12" s="192">
        <v>2029</v>
      </c>
      <c r="N12" s="192">
        <v>1857</v>
      </c>
      <c r="O12" s="192">
        <v>2004</v>
      </c>
      <c r="P12" s="192">
        <v>1663</v>
      </c>
      <c r="Q12" s="192">
        <v>1590</v>
      </c>
      <c r="R12" s="192">
        <v>1896</v>
      </c>
      <c r="S12" s="192">
        <v>2156</v>
      </c>
      <c r="T12" s="192">
        <v>1851</v>
      </c>
    </row>
    <row r="13" spans="1:20" ht="17.25" customHeight="1">
      <c r="A13" s="197" t="s">
        <v>180</v>
      </c>
      <c r="B13" s="195">
        <v>238</v>
      </c>
      <c r="C13" s="195">
        <v>228</v>
      </c>
      <c r="D13" s="196">
        <v>226</v>
      </c>
      <c r="E13" s="196">
        <v>170</v>
      </c>
      <c r="F13" s="192">
        <v>211</v>
      </c>
      <c r="G13" s="192">
        <v>196</v>
      </c>
      <c r="H13" s="192">
        <v>148</v>
      </c>
      <c r="I13" s="192">
        <v>206</v>
      </c>
      <c r="J13" s="192">
        <v>759</v>
      </c>
      <c r="K13" s="192">
        <v>828</v>
      </c>
      <c r="L13" s="192">
        <v>932</v>
      </c>
      <c r="M13" s="192">
        <v>913</v>
      </c>
      <c r="N13" s="192">
        <v>932</v>
      </c>
      <c r="O13" s="192">
        <v>1024</v>
      </c>
      <c r="P13" s="192">
        <v>964</v>
      </c>
      <c r="Q13" s="192">
        <v>940</v>
      </c>
      <c r="R13" s="192">
        <v>1130</v>
      </c>
      <c r="S13" s="192">
        <v>1230</v>
      </c>
      <c r="T13" s="192">
        <v>1550</v>
      </c>
    </row>
    <row r="14" spans="1:20" ht="17.25" customHeight="1">
      <c r="A14" s="194" t="s">
        <v>181</v>
      </c>
      <c r="B14" s="195">
        <v>199</v>
      </c>
      <c r="C14" s="195">
        <v>156</v>
      </c>
      <c r="D14" s="196">
        <v>150</v>
      </c>
      <c r="E14" s="196">
        <v>173</v>
      </c>
      <c r="F14" s="192">
        <v>158</v>
      </c>
      <c r="G14" s="192">
        <v>157</v>
      </c>
      <c r="H14" s="192">
        <v>152</v>
      </c>
      <c r="I14" s="192">
        <v>158</v>
      </c>
      <c r="J14" s="192">
        <v>459</v>
      </c>
      <c r="K14" s="192">
        <v>410</v>
      </c>
      <c r="L14" s="192">
        <v>512</v>
      </c>
      <c r="M14" s="192">
        <v>521</v>
      </c>
      <c r="N14" s="192">
        <v>486</v>
      </c>
      <c r="O14" s="192">
        <v>584</v>
      </c>
      <c r="P14" s="192">
        <v>583</v>
      </c>
      <c r="Q14" s="192">
        <v>651</v>
      </c>
      <c r="R14" s="192">
        <v>620</v>
      </c>
      <c r="S14" s="192">
        <v>570</v>
      </c>
      <c r="T14" s="192">
        <v>680</v>
      </c>
    </row>
    <row r="15" spans="1:20" ht="17.25" customHeight="1">
      <c r="A15" s="197" t="s">
        <v>178</v>
      </c>
      <c r="B15" s="195">
        <v>791</v>
      </c>
      <c r="C15" s="195">
        <v>741</v>
      </c>
      <c r="D15" s="196">
        <v>716</v>
      </c>
      <c r="E15" s="196">
        <v>816</v>
      </c>
      <c r="F15" s="192">
        <v>888</v>
      </c>
      <c r="G15" s="192">
        <v>716</v>
      </c>
      <c r="H15" s="192">
        <v>727</v>
      </c>
      <c r="I15" s="192">
        <v>678</v>
      </c>
      <c r="J15" s="192">
        <v>639</v>
      </c>
      <c r="K15" s="192">
        <v>847</v>
      </c>
      <c r="L15" s="192">
        <v>904</v>
      </c>
      <c r="M15" s="192">
        <v>839</v>
      </c>
      <c r="N15" s="192">
        <v>672</v>
      </c>
      <c r="O15" s="192">
        <v>826</v>
      </c>
      <c r="P15" s="192">
        <v>995</v>
      </c>
      <c r="Q15" s="192">
        <v>945</v>
      </c>
      <c r="R15" s="192">
        <v>680</v>
      </c>
      <c r="S15" s="192">
        <v>660</v>
      </c>
      <c r="T15" s="192">
        <v>630</v>
      </c>
    </row>
    <row r="16" spans="1:20" ht="17.25" customHeight="1">
      <c r="A16" s="194" t="s">
        <v>176</v>
      </c>
      <c r="B16" s="195">
        <v>1575</v>
      </c>
      <c r="C16" s="195">
        <v>1788</v>
      </c>
      <c r="D16" s="196">
        <v>1889</v>
      </c>
      <c r="E16" s="196">
        <v>2099</v>
      </c>
      <c r="F16" s="192">
        <v>2390</v>
      </c>
      <c r="G16" s="192">
        <v>2675</v>
      </c>
      <c r="H16" s="192">
        <v>2714</v>
      </c>
      <c r="I16" s="192">
        <v>3042</v>
      </c>
      <c r="J16" s="192">
        <v>209</v>
      </c>
      <c r="K16" s="192">
        <v>190</v>
      </c>
      <c r="L16" s="192">
        <v>187</v>
      </c>
      <c r="M16" s="192">
        <v>180</v>
      </c>
      <c r="N16" s="192">
        <v>245</v>
      </c>
      <c r="O16" s="192">
        <v>261</v>
      </c>
      <c r="P16" s="192">
        <v>238</v>
      </c>
      <c r="Q16" s="192">
        <v>267</v>
      </c>
      <c r="R16" s="192">
        <v>270</v>
      </c>
      <c r="S16" s="192">
        <v>340</v>
      </c>
      <c r="T16" s="192">
        <v>420</v>
      </c>
    </row>
    <row r="17" spans="1:20" ht="17.25" customHeight="1">
      <c r="A17" s="194" t="s">
        <v>175</v>
      </c>
      <c r="B17" s="195">
        <v>1169</v>
      </c>
      <c r="C17" s="195">
        <v>997</v>
      </c>
      <c r="D17" s="196">
        <v>1504</v>
      </c>
      <c r="E17" s="196">
        <v>1425</v>
      </c>
      <c r="F17" s="192">
        <v>2103</v>
      </c>
      <c r="G17" s="192">
        <v>2058</v>
      </c>
      <c r="H17" s="192">
        <v>2332</v>
      </c>
      <c r="I17" s="192">
        <v>2577</v>
      </c>
      <c r="J17" s="192">
        <v>154</v>
      </c>
      <c r="K17" s="192">
        <v>192</v>
      </c>
      <c r="L17" s="192">
        <v>218</v>
      </c>
      <c r="M17" s="192">
        <v>219</v>
      </c>
      <c r="N17" s="192">
        <v>182</v>
      </c>
      <c r="O17" s="192">
        <v>178</v>
      </c>
      <c r="P17" s="192">
        <v>133</v>
      </c>
      <c r="Q17" s="192">
        <v>132</v>
      </c>
      <c r="R17" s="192">
        <v>140</v>
      </c>
      <c r="S17" s="192">
        <v>160</v>
      </c>
      <c r="T17" s="192">
        <v>160</v>
      </c>
    </row>
    <row r="18" spans="1:20" ht="17.25" customHeight="1">
      <c r="A18" s="197" t="s">
        <v>183</v>
      </c>
      <c r="B18" s="195">
        <v>28</v>
      </c>
      <c r="C18" s="195">
        <v>29</v>
      </c>
      <c r="D18" s="196">
        <v>34</v>
      </c>
      <c r="E18" s="196">
        <v>39</v>
      </c>
      <c r="F18" s="192">
        <v>34</v>
      </c>
      <c r="G18" s="192">
        <v>36</v>
      </c>
      <c r="H18" s="192">
        <v>38</v>
      </c>
      <c r="I18" s="192">
        <v>35</v>
      </c>
      <c r="J18" s="192">
        <v>103</v>
      </c>
      <c r="K18" s="192">
        <v>98</v>
      </c>
      <c r="L18" s="192">
        <v>97</v>
      </c>
      <c r="M18" s="192">
        <v>83</v>
      </c>
      <c r="N18" s="192">
        <v>82</v>
      </c>
      <c r="O18" s="192">
        <v>88</v>
      </c>
      <c r="P18" s="192">
        <v>102</v>
      </c>
      <c r="Q18" s="192">
        <v>109</v>
      </c>
      <c r="R18" s="192">
        <v>110</v>
      </c>
      <c r="S18" s="192">
        <v>140</v>
      </c>
      <c r="T18" s="192">
        <v>130</v>
      </c>
    </row>
    <row r="19" spans="1:20" ht="17.25" customHeight="1">
      <c r="A19" s="197" t="s">
        <v>182</v>
      </c>
      <c r="B19" s="198">
        <v>108</v>
      </c>
      <c r="C19" s="198">
        <v>93</v>
      </c>
      <c r="D19" s="199">
        <v>125</v>
      </c>
      <c r="E19" s="199">
        <v>113</v>
      </c>
      <c r="F19" s="192">
        <v>111</v>
      </c>
      <c r="G19" s="192">
        <v>108</v>
      </c>
      <c r="H19" s="192">
        <v>86</v>
      </c>
      <c r="I19" s="192">
        <v>90</v>
      </c>
      <c r="J19" s="192">
        <v>36</v>
      </c>
      <c r="K19" s="192">
        <v>35</v>
      </c>
      <c r="L19" s="192">
        <v>39</v>
      </c>
      <c r="M19" s="192">
        <v>38</v>
      </c>
      <c r="N19" s="192">
        <v>38</v>
      </c>
      <c r="O19" s="192">
        <v>40</v>
      </c>
      <c r="P19" s="192">
        <v>42</v>
      </c>
      <c r="Q19" s="192">
        <v>46</v>
      </c>
      <c r="R19" s="192">
        <v>50</v>
      </c>
      <c r="S19" s="192">
        <v>50</v>
      </c>
      <c r="T19" s="192">
        <v>50</v>
      </c>
    </row>
    <row r="20" spans="1:20" ht="17.25" customHeight="1">
      <c r="A20" s="200" t="s">
        <v>184</v>
      </c>
      <c r="B20" s="201">
        <f>SUM(B7:B19)</f>
        <v>36951</v>
      </c>
      <c r="C20" s="201">
        <f t="shared" ref="C20:I20" si="0">SUM(C7:C19)</f>
        <v>40652</v>
      </c>
      <c r="D20" s="201">
        <f t="shared" si="0"/>
        <v>43626</v>
      </c>
      <c r="E20" s="201">
        <f t="shared" si="0"/>
        <v>47589</v>
      </c>
      <c r="F20" s="201">
        <f t="shared" si="0"/>
        <v>53834</v>
      </c>
      <c r="G20" s="201">
        <f t="shared" si="0"/>
        <v>54386</v>
      </c>
      <c r="H20" s="201">
        <f t="shared" si="0"/>
        <v>57049</v>
      </c>
      <c r="I20" s="201">
        <f t="shared" si="0"/>
        <v>60284</v>
      </c>
      <c r="J20" s="201">
        <f>SUM(J7:J19)</f>
        <v>62742</v>
      </c>
      <c r="K20" s="201">
        <f t="shared" ref="K20:T20" si="1">SUM(K7:K19)</f>
        <v>65336</v>
      </c>
      <c r="L20" s="201">
        <f t="shared" si="1"/>
        <v>69468</v>
      </c>
      <c r="M20" s="201">
        <f t="shared" si="1"/>
        <v>72235</v>
      </c>
      <c r="N20" s="201">
        <f t="shared" si="1"/>
        <v>74089</v>
      </c>
      <c r="O20" s="201">
        <f t="shared" si="1"/>
        <v>81431.7</v>
      </c>
      <c r="P20" s="201">
        <f t="shared" si="1"/>
        <v>77592.899999999994</v>
      </c>
      <c r="Q20" s="201">
        <f t="shared" si="1"/>
        <v>85477.5</v>
      </c>
      <c r="R20" s="201">
        <f t="shared" si="1"/>
        <v>86717</v>
      </c>
      <c r="S20" s="201">
        <f t="shared" si="1"/>
        <v>94023</v>
      </c>
      <c r="T20" s="201">
        <f t="shared" si="1"/>
        <v>92289</v>
      </c>
    </row>
    <row r="21" spans="1:20" ht="17.25" customHeight="1">
      <c r="A21" s="202" t="s">
        <v>186</v>
      </c>
      <c r="B21" s="193">
        <v>534</v>
      </c>
      <c r="C21" s="193">
        <v>625</v>
      </c>
      <c r="D21" s="203">
        <v>683</v>
      </c>
      <c r="E21" s="203">
        <v>633</v>
      </c>
      <c r="F21" s="192">
        <v>693</v>
      </c>
      <c r="G21" s="192">
        <v>786</v>
      </c>
      <c r="H21" s="192">
        <v>731</v>
      </c>
      <c r="I21" s="192">
        <v>856</v>
      </c>
      <c r="J21" s="192">
        <v>2134</v>
      </c>
      <c r="K21" s="192">
        <v>1896</v>
      </c>
      <c r="L21" s="192">
        <v>1628</v>
      </c>
      <c r="M21" s="192">
        <v>1591</v>
      </c>
      <c r="N21" s="192">
        <v>1611</v>
      </c>
      <c r="O21" s="192">
        <v>1580</v>
      </c>
      <c r="P21" s="192">
        <v>1622</v>
      </c>
      <c r="Q21" s="192">
        <v>1672</v>
      </c>
      <c r="R21" s="192">
        <v>1840</v>
      </c>
      <c r="S21" s="192">
        <v>1970</v>
      </c>
      <c r="T21" s="192">
        <v>2160</v>
      </c>
    </row>
    <row r="22" spans="1:20" ht="17.25" customHeight="1">
      <c r="A22" s="197" t="s">
        <v>185</v>
      </c>
      <c r="B22" s="192">
        <v>2285</v>
      </c>
      <c r="C22" s="192">
        <v>2115</v>
      </c>
      <c r="D22" s="197">
        <v>2131</v>
      </c>
      <c r="E22" s="197">
        <v>2070</v>
      </c>
      <c r="F22" s="192">
        <v>2153</v>
      </c>
      <c r="G22" s="192">
        <v>2263</v>
      </c>
      <c r="H22" s="192">
        <v>2202</v>
      </c>
      <c r="I22" s="192">
        <v>1999</v>
      </c>
      <c r="J22" s="192">
        <v>724</v>
      </c>
      <c r="K22" s="192">
        <v>714</v>
      </c>
      <c r="L22" s="192">
        <v>787</v>
      </c>
      <c r="M22" s="192">
        <v>800</v>
      </c>
      <c r="N22" s="192">
        <v>853</v>
      </c>
      <c r="O22" s="192">
        <v>833</v>
      </c>
      <c r="P22" s="192">
        <v>855</v>
      </c>
      <c r="Q22" s="192">
        <v>763</v>
      </c>
      <c r="R22" s="192">
        <v>820</v>
      </c>
      <c r="S22" s="192">
        <v>990</v>
      </c>
      <c r="T22" s="192">
        <v>950</v>
      </c>
    </row>
    <row r="23" spans="1:20" ht="17.25" customHeight="1">
      <c r="A23" s="197" t="s">
        <v>187</v>
      </c>
      <c r="B23" s="192">
        <v>726</v>
      </c>
      <c r="C23" s="192">
        <v>752</v>
      </c>
      <c r="D23" s="197">
        <v>777</v>
      </c>
      <c r="E23" s="197">
        <v>747</v>
      </c>
      <c r="F23" s="192">
        <v>755</v>
      </c>
      <c r="G23" s="192">
        <v>727</v>
      </c>
      <c r="H23" s="192">
        <v>679</v>
      </c>
      <c r="I23" s="192">
        <v>782</v>
      </c>
      <c r="J23" s="192">
        <v>802</v>
      </c>
      <c r="K23" s="192">
        <v>785</v>
      </c>
      <c r="L23" s="192">
        <v>923</v>
      </c>
      <c r="M23" s="192">
        <v>753</v>
      </c>
      <c r="N23" s="192">
        <v>823</v>
      </c>
      <c r="O23" s="192">
        <v>754</v>
      </c>
      <c r="P23" s="192">
        <v>764</v>
      </c>
      <c r="Q23" s="192">
        <v>831</v>
      </c>
      <c r="R23" s="192">
        <v>900</v>
      </c>
      <c r="S23" s="192">
        <v>1000</v>
      </c>
      <c r="T23" s="192">
        <v>950</v>
      </c>
    </row>
    <row r="24" spans="1:20" ht="17.25" customHeight="1">
      <c r="A24" s="197" t="s">
        <v>188</v>
      </c>
      <c r="B24" s="204">
        <v>128</v>
      </c>
      <c r="C24" s="204">
        <v>138</v>
      </c>
      <c r="D24" s="205">
        <v>155</v>
      </c>
      <c r="E24" s="205">
        <v>131</v>
      </c>
      <c r="F24" s="192">
        <v>105</v>
      </c>
      <c r="G24" s="192">
        <v>111</v>
      </c>
      <c r="H24" s="192">
        <v>139</v>
      </c>
      <c r="I24" s="192">
        <v>114</v>
      </c>
      <c r="J24" s="192">
        <v>116</v>
      </c>
      <c r="K24" s="192">
        <v>122</v>
      </c>
      <c r="L24" s="192">
        <v>111</v>
      </c>
      <c r="M24" s="192">
        <v>119</v>
      </c>
      <c r="N24" s="192">
        <v>120</v>
      </c>
      <c r="O24" s="192">
        <v>125</v>
      </c>
      <c r="P24" s="192">
        <v>113</v>
      </c>
      <c r="Q24" s="192">
        <v>121</v>
      </c>
      <c r="R24" s="192">
        <v>120</v>
      </c>
      <c r="S24" s="192">
        <v>170</v>
      </c>
      <c r="T24" s="192">
        <v>170</v>
      </c>
    </row>
    <row r="25" spans="1:20" ht="17.25" customHeight="1">
      <c r="A25" s="200" t="s">
        <v>319</v>
      </c>
      <c r="B25" s="201">
        <f>SUM(B21:B24)</f>
        <v>3673</v>
      </c>
      <c r="C25" s="201">
        <f t="shared" ref="C25:I25" si="2">SUM(C21:C24)</f>
        <v>3630</v>
      </c>
      <c r="D25" s="201">
        <f t="shared" si="2"/>
        <v>3746</v>
      </c>
      <c r="E25" s="201">
        <f t="shared" si="2"/>
        <v>3581</v>
      </c>
      <c r="F25" s="201">
        <f t="shared" si="2"/>
        <v>3706</v>
      </c>
      <c r="G25" s="201">
        <f t="shared" si="2"/>
        <v>3887</v>
      </c>
      <c r="H25" s="201">
        <f t="shared" si="2"/>
        <v>3751</v>
      </c>
      <c r="I25" s="201">
        <f t="shared" si="2"/>
        <v>3751</v>
      </c>
      <c r="J25" s="201">
        <f>SUM(J21:J24)</f>
        <v>3776</v>
      </c>
      <c r="K25" s="201">
        <f t="shared" ref="K25:T25" si="3">SUM(K21:K24)</f>
        <v>3517</v>
      </c>
      <c r="L25" s="201">
        <f t="shared" si="3"/>
        <v>3449</v>
      </c>
      <c r="M25" s="201">
        <f t="shared" si="3"/>
        <v>3263</v>
      </c>
      <c r="N25" s="201">
        <f t="shared" si="3"/>
        <v>3407</v>
      </c>
      <c r="O25" s="201">
        <f t="shared" si="3"/>
        <v>3292</v>
      </c>
      <c r="P25" s="201">
        <f t="shared" si="3"/>
        <v>3354</v>
      </c>
      <c r="Q25" s="201">
        <f t="shared" si="3"/>
        <v>3387</v>
      </c>
      <c r="R25" s="201">
        <f t="shared" si="3"/>
        <v>3680</v>
      </c>
      <c r="S25" s="201">
        <f t="shared" si="3"/>
        <v>4130</v>
      </c>
      <c r="T25" s="201">
        <f t="shared" si="3"/>
        <v>4230</v>
      </c>
    </row>
    <row r="26" spans="1:20" ht="17.25" customHeight="1">
      <c r="A26" s="206" t="s">
        <v>189</v>
      </c>
      <c r="B26" s="201">
        <f>SUM(B25,B20)</f>
        <v>40624</v>
      </c>
      <c r="C26" s="201">
        <f t="shared" ref="C26:I26" si="4">SUM(C25,C20)</f>
        <v>44282</v>
      </c>
      <c r="D26" s="201">
        <f t="shared" si="4"/>
        <v>47372</v>
      </c>
      <c r="E26" s="201">
        <f t="shared" si="4"/>
        <v>51170</v>
      </c>
      <c r="F26" s="201">
        <f t="shared" si="4"/>
        <v>57540</v>
      </c>
      <c r="G26" s="201">
        <f t="shared" si="4"/>
        <v>58273</v>
      </c>
      <c r="H26" s="201">
        <f t="shared" si="4"/>
        <v>60800</v>
      </c>
      <c r="I26" s="201">
        <f t="shared" si="4"/>
        <v>64035</v>
      </c>
      <c r="J26" s="201">
        <f>SUM(J20+J25)</f>
        <v>66518</v>
      </c>
      <c r="K26" s="201">
        <f t="shared" ref="K26:T26" si="5">SUM(K20+K25)</f>
        <v>68853</v>
      </c>
      <c r="L26" s="201">
        <f t="shared" si="5"/>
        <v>72917</v>
      </c>
      <c r="M26" s="201">
        <f t="shared" si="5"/>
        <v>75498</v>
      </c>
      <c r="N26" s="201">
        <f t="shared" si="5"/>
        <v>77496</v>
      </c>
      <c r="O26" s="201">
        <f t="shared" si="5"/>
        <v>84723.7</v>
      </c>
      <c r="P26" s="201">
        <f t="shared" si="5"/>
        <v>80946.899999999994</v>
      </c>
      <c r="Q26" s="201">
        <f t="shared" si="5"/>
        <v>88864.5</v>
      </c>
      <c r="R26" s="201">
        <f t="shared" si="5"/>
        <v>90397</v>
      </c>
      <c r="S26" s="201">
        <f t="shared" si="5"/>
        <v>98153</v>
      </c>
      <c r="T26" s="201">
        <f t="shared" si="5"/>
        <v>96519</v>
      </c>
    </row>
    <row r="27" spans="1:20" ht="17.25" customHeight="1">
      <c r="A27" s="184" t="s">
        <v>312</v>
      </c>
      <c r="B27" s="207"/>
      <c r="C27" s="207"/>
      <c r="D27" s="207"/>
      <c r="E27" s="207"/>
      <c r="F27" s="207"/>
      <c r="G27" s="207"/>
    </row>
    <row r="28" spans="1:20" ht="17.25" customHeight="1">
      <c r="G28" s="208"/>
      <c r="H28" s="208"/>
      <c r="I28" s="208"/>
      <c r="J28" s="208"/>
      <c r="K28" s="208"/>
      <c r="L28" s="208"/>
      <c r="M28" s="208"/>
      <c r="N28" s="208"/>
    </row>
    <row r="29" spans="1:20" ht="17.25" customHeight="1">
      <c r="G29" s="208"/>
      <c r="H29" s="208"/>
      <c r="I29" s="208"/>
      <c r="J29" s="208"/>
      <c r="K29" s="208"/>
      <c r="L29" s="208"/>
      <c r="M29" s="208"/>
      <c r="N29" s="208"/>
    </row>
  </sheetData>
  <sortState ref="A21:T24">
    <sortCondition descending="1" ref="T21:T24"/>
  </sortState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1" manualBreakCount="1">
    <brk id="28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8"/>
  <sheetViews>
    <sheetView showOutlineSymbols="0" view="pageBreakPreview" zoomScaleNormal="100" zoomScaleSheetLayoutView="100" workbookViewId="0">
      <selection activeCell="H38" sqref="H38"/>
    </sheetView>
  </sheetViews>
  <sheetFormatPr defaultColWidth="14.5" defaultRowHeight="17.25" customHeight="1"/>
  <cols>
    <col min="1" max="1" width="31" style="184" customWidth="1"/>
    <col min="2" max="9" width="10.6640625" style="184" hidden="1" customWidth="1"/>
    <col min="10" max="20" width="12.5" style="184" customWidth="1"/>
    <col min="21" max="16384" width="14.5" style="184"/>
  </cols>
  <sheetData>
    <row r="2" spans="1:20" ht="17.25" customHeight="1">
      <c r="A2" s="613" t="s">
        <v>157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</row>
    <row r="3" spans="1:20" ht="17.25" customHeight="1">
      <c r="A3" s="614" t="s">
        <v>323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1:20" ht="17.25" customHeight="1">
      <c r="A4" s="613" t="s">
        <v>14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</row>
    <row r="6" spans="1:20" ht="17.25" customHeight="1">
      <c r="A6" s="185" t="s">
        <v>317</v>
      </c>
      <c r="B6" s="186">
        <v>2002</v>
      </c>
      <c r="C6" s="187">
        <v>2003</v>
      </c>
      <c r="D6" s="187">
        <v>2004</v>
      </c>
      <c r="E6" s="188">
        <v>2005</v>
      </c>
      <c r="F6" s="188">
        <v>2006</v>
      </c>
      <c r="G6" s="188">
        <v>2007</v>
      </c>
      <c r="H6" s="188">
        <v>2008</v>
      </c>
      <c r="I6" s="188">
        <v>2009</v>
      </c>
      <c r="J6" s="188">
        <v>2010</v>
      </c>
      <c r="K6" s="188">
        <v>2011</v>
      </c>
      <c r="L6" s="188">
        <v>2012</v>
      </c>
      <c r="M6" s="188">
        <v>2013</v>
      </c>
      <c r="N6" s="188">
        <v>2014</v>
      </c>
      <c r="O6" s="188">
        <v>2015</v>
      </c>
      <c r="P6" s="188">
        <v>2016</v>
      </c>
      <c r="Q6" s="188">
        <v>2017</v>
      </c>
      <c r="R6" s="188">
        <v>2018</v>
      </c>
      <c r="S6" s="188">
        <v>2019</v>
      </c>
      <c r="T6" s="188">
        <v>2020</v>
      </c>
    </row>
    <row r="7" spans="1:20" ht="17.25" customHeight="1">
      <c r="A7" s="189" t="s">
        <v>12</v>
      </c>
      <c r="B7" s="190">
        <v>25422</v>
      </c>
      <c r="C7" s="190">
        <v>28171</v>
      </c>
      <c r="D7" s="191">
        <v>30248</v>
      </c>
      <c r="E7" s="191">
        <v>33655</v>
      </c>
      <c r="F7" s="192">
        <v>36240</v>
      </c>
      <c r="G7" s="193">
        <v>37734</v>
      </c>
      <c r="H7" s="193">
        <v>42618</v>
      </c>
      <c r="I7" s="193">
        <v>45228</v>
      </c>
      <c r="J7" s="193">
        <v>46406</v>
      </c>
      <c r="K7" s="193">
        <v>47936</v>
      </c>
      <c r="L7" s="193">
        <v>52402</v>
      </c>
      <c r="M7" s="193">
        <v>57810</v>
      </c>
      <c r="N7" s="193">
        <v>59460</v>
      </c>
      <c r="O7" s="193">
        <v>60689.400000000009</v>
      </c>
      <c r="P7" s="193">
        <v>63367.100000000006</v>
      </c>
      <c r="Q7" s="193">
        <v>66385.799999999988</v>
      </c>
      <c r="R7" s="193">
        <v>71745</v>
      </c>
      <c r="S7" s="193">
        <v>78787</v>
      </c>
      <c r="T7" s="193">
        <v>75325</v>
      </c>
    </row>
    <row r="8" spans="1:20" ht="17.25" customHeight="1">
      <c r="A8" s="194" t="s">
        <v>234</v>
      </c>
      <c r="B8" s="195">
        <v>13528</v>
      </c>
      <c r="C8" s="195">
        <v>12787</v>
      </c>
      <c r="D8" s="196">
        <v>15017</v>
      </c>
      <c r="E8" s="196">
        <v>16118</v>
      </c>
      <c r="F8" s="192">
        <v>18070</v>
      </c>
      <c r="G8" s="192">
        <v>19023</v>
      </c>
      <c r="H8" s="192">
        <v>19869</v>
      </c>
      <c r="I8" s="192">
        <v>21257</v>
      </c>
      <c r="J8" s="192">
        <v>39029</v>
      </c>
      <c r="K8" s="192">
        <v>41916</v>
      </c>
      <c r="L8" s="192">
        <v>41471</v>
      </c>
      <c r="M8" s="192">
        <v>42934</v>
      </c>
      <c r="N8" s="192">
        <v>45465</v>
      </c>
      <c r="O8" s="192">
        <v>48731</v>
      </c>
      <c r="P8" s="192">
        <v>52868</v>
      </c>
      <c r="Q8" s="192">
        <v>54577</v>
      </c>
      <c r="R8" s="192">
        <v>56450</v>
      </c>
      <c r="S8" s="192">
        <v>56837</v>
      </c>
      <c r="T8" s="192">
        <v>57858</v>
      </c>
    </row>
    <row r="9" spans="1:20" ht="17.25" customHeight="1">
      <c r="A9" s="197" t="s">
        <v>27</v>
      </c>
      <c r="B9" s="195">
        <v>2024</v>
      </c>
      <c r="C9" s="195">
        <v>2003</v>
      </c>
      <c r="D9" s="196">
        <v>2045</v>
      </c>
      <c r="E9" s="196">
        <v>2087</v>
      </c>
      <c r="F9" s="192">
        <v>2218</v>
      </c>
      <c r="G9" s="192">
        <v>2357</v>
      </c>
      <c r="H9" s="192">
        <v>2279</v>
      </c>
      <c r="I9" s="192">
        <v>2366</v>
      </c>
      <c r="J9" s="192">
        <v>23627</v>
      </c>
      <c r="K9" s="192">
        <v>23246</v>
      </c>
      <c r="L9" s="192">
        <v>23798</v>
      </c>
      <c r="M9" s="192">
        <v>24230</v>
      </c>
      <c r="N9" s="192">
        <v>26150</v>
      </c>
      <c r="O9" s="192">
        <v>26727</v>
      </c>
      <c r="P9" s="192">
        <v>26837</v>
      </c>
      <c r="Q9" s="192">
        <v>25981</v>
      </c>
      <c r="R9" s="192">
        <v>25764</v>
      </c>
      <c r="S9" s="192">
        <v>25310</v>
      </c>
      <c r="T9" s="192">
        <v>24987</v>
      </c>
    </row>
    <row r="10" spans="1:20" ht="17.25" customHeight="1">
      <c r="A10" s="194" t="s">
        <v>177</v>
      </c>
      <c r="B10" s="195">
        <v>4249</v>
      </c>
      <c r="C10" s="195">
        <v>3994</v>
      </c>
      <c r="D10" s="196">
        <v>4314</v>
      </c>
      <c r="E10" s="196">
        <v>4995</v>
      </c>
      <c r="F10" s="192">
        <v>4903</v>
      </c>
      <c r="G10" s="192">
        <v>5068</v>
      </c>
      <c r="H10" s="192">
        <v>5054</v>
      </c>
      <c r="I10" s="192">
        <v>4686</v>
      </c>
      <c r="J10" s="192">
        <v>12717</v>
      </c>
      <c r="K10" s="192">
        <v>12816</v>
      </c>
      <c r="L10" s="192">
        <v>14505</v>
      </c>
      <c r="M10" s="192">
        <v>14207</v>
      </c>
      <c r="N10" s="192">
        <v>16058</v>
      </c>
      <c r="O10" s="192">
        <v>15236</v>
      </c>
      <c r="P10" s="192">
        <v>16309</v>
      </c>
      <c r="Q10" s="192">
        <v>18578</v>
      </c>
      <c r="R10" s="192">
        <v>18946</v>
      </c>
      <c r="S10" s="192">
        <v>20054</v>
      </c>
      <c r="T10" s="192">
        <v>21377</v>
      </c>
    </row>
    <row r="11" spans="1:20" ht="17.25" customHeight="1">
      <c r="A11" s="194" t="s">
        <v>4</v>
      </c>
      <c r="B11" s="195">
        <v>29964</v>
      </c>
      <c r="C11" s="195">
        <v>31224</v>
      </c>
      <c r="D11" s="196">
        <v>31049</v>
      </c>
      <c r="E11" s="196">
        <v>32742</v>
      </c>
      <c r="F11" s="192">
        <v>34371</v>
      </c>
      <c r="G11" s="192">
        <v>36895</v>
      </c>
      <c r="H11" s="192">
        <v>37769</v>
      </c>
      <c r="I11" s="192">
        <v>35899</v>
      </c>
      <c r="J11" s="192">
        <v>5125</v>
      </c>
      <c r="K11" s="192">
        <v>5255</v>
      </c>
      <c r="L11" s="192">
        <v>5707</v>
      </c>
      <c r="M11" s="192">
        <v>6377</v>
      </c>
      <c r="N11" s="192">
        <v>6391</v>
      </c>
      <c r="O11" s="192">
        <v>6655</v>
      </c>
      <c r="P11" s="192">
        <v>6578</v>
      </c>
      <c r="Q11" s="192">
        <v>7075</v>
      </c>
      <c r="R11" s="192">
        <v>7566</v>
      </c>
      <c r="S11" s="192">
        <v>7993</v>
      </c>
      <c r="T11" s="192">
        <v>7923</v>
      </c>
    </row>
    <row r="12" spans="1:20" ht="17.25" customHeight="1">
      <c r="A12" s="194" t="s">
        <v>175</v>
      </c>
      <c r="B12" s="195">
        <v>7658</v>
      </c>
      <c r="C12" s="195">
        <v>8821</v>
      </c>
      <c r="D12" s="196">
        <v>9587</v>
      </c>
      <c r="E12" s="196">
        <v>9613</v>
      </c>
      <c r="F12" s="192">
        <v>10876</v>
      </c>
      <c r="G12" s="192">
        <v>11210</v>
      </c>
      <c r="H12" s="192">
        <v>10487</v>
      </c>
      <c r="I12" s="192">
        <v>12624</v>
      </c>
      <c r="J12" s="192">
        <v>4506</v>
      </c>
      <c r="K12" s="192">
        <v>4800</v>
      </c>
      <c r="L12" s="192">
        <v>5171</v>
      </c>
      <c r="M12" s="192">
        <v>5067</v>
      </c>
      <c r="N12" s="192">
        <v>5092</v>
      </c>
      <c r="O12" s="192">
        <v>4900</v>
      </c>
      <c r="P12" s="192">
        <v>4284</v>
      </c>
      <c r="Q12" s="192">
        <v>4341</v>
      </c>
      <c r="R12" s="192">
        <v>4690</v>
      </c>
      <c r="S12" s="192">
        <v>4650</v>
      </c>
      <c r="T12" s="192">
        <v>4560</v>
      </c>
    </row>
    <row r="13" spans="1:20" ht="17.25" customHeight="1">
      <c r="A13" s="197" t="s">
        <v>178</v>
      </c>
      <c r="B13" s="195">
        <v>5261</v>
      </c>
      <c r="C13" s="195">
        <v>4526</v>
      </c>
      <c r="D13" s="196">
        <v>4695</v>
      </c>
      <c r="E13" s="196">
        <v>4512</v>
      </c>
      <c r="F13" s="192">
        <v>4450</v>
      </c>
      <c r="G13" s="192">
        <v>4104</v>
      </c>
      <c r="H13" s="192">
        <v>4302</v>
      </c>
      <c r="I13" s="192">
        <v>4256</v>
      </c>
      <c r="J13" s="192">
        <v>2470</v>
      </c>
      <c r="K13" s="192">
        <v>2518</v>
      </c>
      <c r="L13" s="192">
        <v>2770</v>
      </c>
      <c r="M13" s="192">
        <v>3051</v>
      </c>
      <c r="N13" s="192">
        <v>3226</v>
      </c>
      <c r="O13" s="192">
        <v>3642</v>
      </c>
      <c r="P13" s="192">
        <v>3933</v>
      </c>
      <c r="Q13" s="192">
        <v>4268</v>
      </c>
      <c r="R13" s="192">
        <v>4410</v>
      </c>
      <c r="S13" s="192">
        <v>4330</v>
      </c>
      <c r="T13" s="192">
        <v>4190</v>
      </c>
    </row>
    <row r="14" spans="1:20" ht="17.25" customHeight="1">
      <c r="A14" s="194" t="s">
        <v>176</v>
      </c>
      <c r="B14" s="195">
        <v>3137</v>
      </c>
      <c r="C14" s="195">
        <v>3472</v>
      </c>
      <c r="D14" s="196">
        <v>3638</v>
      </c>
      <c r="E14" s="196">
        <v>3941</v>
      </c>
      <c r="F14" s="192">
        <v>4195</v>
      </c>
      <c r="G14" s="192">
        <v>4533</v>
      </c>
      <c r="H14" s="192">
        <v>4668</v>
      </c>
      <c r="I14" s="192">
        <v>5248</v>
      </c>
      <c r="J14" s="192">
        <v>4126</v>
      </c>
      <c r="K14" s="192">
        <v>4216</v>
      </c>
      <c r="L14" s="192">
        <v>4015</v>
      </c>
      <c r="M14" s="192">
        <v>3892</v>
      </c>
      <c r="N14" s="192">
        <v>4040</v>
      </c>
      <c r="O14" s="192">
        <v>3774</v>
      </c>
      <c r="P14" s="192">
        <v>3778</v>
      </c>
      <c r="Q14" s="192">
        <v>4163</v>
      </c>
      <c r="R14" s="192">
        <v>4160</v>
      </c>
      <c r="S14" s="192">
        <v>4060</v>
      </c>
      <c r="T14" s="192">
        <v>4160</v>
      </c>
    </row>
    <row r="15" spans="1:20" ht="17.25" customHeight="1">
      <c r="A15" s="194" t="s">
        <v>180</v>
      </c>
      <c r="B15" s="195">
        <v>3233</v>
      </c>
      <c r="C15" s="195">
        <v>3346</v>
      </c>
      <c r="D15" s="196">
        <v>3019</v>
      </c>
      <c r="E15" s="196">
        <v>3108</v>
      </c>
      <c r="F15" s="192">
        <v>3199</v>
      </c>
      <c r="G15" s="192">
        <v>3214</v>
      </c>
      <c r="H15" s="192">
        <v>3259</v>
      </c>
      <c r="I15" s="192">
        <v>3159</v>
      </c>
      <c r="J15" s="192">
        <v>3223</v>
      </c>
      <c r="K15" s="192">
        <v>3194</v>
      </c>
      <c r="L15" s="192">
        <v>3312</v>
      </c>
      <c r="M15" s="192">
        <v>3093</v>
      </c>
      <c r="N15" s="192">
        <v>3186</v>
      </c>
      <c r="O15" s="192">
        <v>3054</v>
      </c>
      <c r="P15" s="192">
        <v>3175</v>
      </c>
      <c r="Q15" s="192">
        <v>3104</v>
      </c>
      <c r="R15" s="192">
        <v>3190</v>
      </c>
      <c r="S15" s="192">
        <v>3890</v>
      </c>
      <c r="T15" s="192">
        <v>3550</v>
      </c>
    </row>
    <row r="16" spans="1:20" ht="17.25" customHeight="1">
      <c r="A16" s="197" t="s">
        <v>179</v>
      </c>
      <c r="B16" s="195">
        <v>2775</v>
      </c>
      <c r="C16" s="195">
        <v>2816</v>
      </c>
      <c r="D16" s="196">
        <v>2927</v>
      </c>
      <c r="E16" s="196">
        <v>2853</v>
      </c>
      <c r="F16" s="192">
        <v>2913</v>
      </c>
      <c r="G16" s="192">
        <v>3029</v>
      </c>
      <c r="H16" s="192">
        <v>3000</v>
      </c>
      <c r="I16" s="192">
        <v>3109</v>
      </c>
      <c r="J16" s="192">
        <v>3564</v>
      </c>
      <c r="K16" s="192">
        <v>3097</v>
      </c>
      <c r="L16" s="192">
        <v>3179</v>
      </c>
      <c r="M16" s="192">
        <v>3410</v>
      </c>
      <c r="N16" s="192">
        <v>3019</v>
      </c>
      <c r="O16" s="192">
        <v>2868</v>
      </c>
      <c r="P16" s="192">
        <v>2604</v>
      </c>
      <c r="Q16" s="192">
        <v>2471</v>
      </c>
      <c r="R16" s="192">
        <v>2720</v>
      </c>
      <c r="S16" s="192">
        <v>2838</v>
      </c>
      <c r="T16" s="192">
        <v>2752</v>
      </c>
    </row>
    <row r="17" spans="1:20" ht="17.25" customHeight="1">
      <c r="A17" s="197" t="s">
        <v>182</v>
      </c>
      <c r="B17" s="195">
        <v>584</v>
      </c>
      <c r="C17" s="195">
        <v>603</v>
      </c>
      <c r="D17" s="196">
        <v>605</v>
      </c>
      <c r="E17" s="196">
        <v>637</v>
      </c>
      <c r="F17" s="192">
        <v>684</v>
      </c>
      <c r="G17" s="192">
        <v>696</v>
      </c>
      <c r="H17" s="192">
        <v>569</v>
      </c>
      <c r="I17" s="192">
        <v>568</v>
      </c>
      <c r="J17" s="192">
        <v>798</v>
      </c>
      <c r="K17" s="192">
        <v>835</v>
      </c>
      <c r="L17" s="192">
        <v>808</v>
      </c>
      <c r="M17" s="192">
        <v>773</v>
      </c>
      <c r="N17" s="192">
        <v>870</v>
      </c>
      <c r="O17" s="192">
        <v>900</v>
      </c>
      <c r="P17" s="192">
        <v>920</v>
      </c>
      <c r="Q17" s="192">
        <v>895</v>
      </c>
      <c r="R17" s="192">
        <v>890</v>
      </c>
      <c r="S17" s="192">
        <v>870</v>
      </c>
      <c r="T17" s="192">
        <v>910</v>
      </c>
    </row>
    <row r="18" spans="1:20" ht="17.25" customHeight="1">
      <c r="A18" s="197" t="s">
        <v>183</v>
      </c>
      <c r="B18" s="195">
        <v>467</v>
      </c>
      <c r="C18" s="195">
        <v>466</v>
      </c>
      <c r="D18" s="196">
        <v>482</v>
      </c>
      <c r="E18" s="196">
        <v>525</v>
      </c>
      <c r="F18" s="192">
        <v>510</v>
      </c>
      <c r="G18" s="192">
        <v>552</v>
      </c>
      <c r="H18" s="192">
        <v>570</v>
      </c>
      <c r="I18" s="192">
        <v>570</v>
      </c>
      <c r="J18" s="192">
        <v>548</v>
      </c>
      <c r="K18" s="192">
        <v>570</v>
      </c>
      <c r="L18" s="192">
        <v>607</v>
      </c>
      <c r="M18" s="192">
        <v>596</v>
      </c>
      <c r="N18" s="192">
        <v>616</v>
      </c>
      <c r="O18" s="192">
        <v>706</v>
      </c>
      <c r="P18" s="192">
        <v>767</v>
      </c>
      <c r="Q18" s="192">
        <v>821</v>
      </c>
      <c r="R18" s="192">
        <v>800</v>
      </c>
      <c r="S18" s="192">
        <v>830</v>
      </c>
      <c r="T18" s="192">
        <v>850</v>
      </c>
    </row>
    <row r="19" spans="1:20" ht="17.25" customHeight="1">
      <c r="A19" s="197" t="s">
        <v>181</v>
      </c>
      <c r="B19" s="198">
        <v>808</v>
      </c>
      <c r="C19" s="198">
        <v>811</v>
      </c>
      <c r="D19" s="199">
        <v>833</v>
      </c>
      <c r="E19" s="199">
        <v>863</v>
      </c>
      <c r="F19" s="192">
        <v>862</v>
      </c>
      <c r="G19" s="192">
        <v>840</v>
      </c>
      <c r="H19" s="192">
        <v>787</v>
      </c>
      <c r="I19" s="192">
        <v>857</v>
      </c>
      <c r="J19" s="192">
        <v>640</v>
      </c>
      <c r="K19" s="192">
        <v>655</v>
      </c>
      <c r="L19" s="192">
        <v>688</v>
      </c>
      <c r="M19" s="192">
        <v>645</v>
      </c>
      <c r="N19" s="192">
        <v>718</v>
      </c>
      <c r="O19" s="192">
        <v>744</v>
      </c>
      <c r="P19" s="192">
        <v>772</v>
      </c>
      <c r="Q19" s="192">
        <v>816</v>
      </c>
      <c r="R19" s="192">
        <v>820</v>
      </c>
      <c r="S19" s="192">
        <v>830</v>
      </c>
      <c r="T19" s="192">
        <v>830</v>
      </c>
    </row>
    <row r="20" spans="1:20" ht="17.25" customHeight="1">
      <c r="A20" s="200" t="s">
        <v>184</v>
      </c>
      <c r="B20" s="201">
        <f t="shared" ref="B20:I20" si="0">SUM(B7:B19)</f>
        <v>99110</v>
      </c>
      <c r="C20" s="201">
        <f t="shared" si="0"/>
        <v>103040</v>
      </c>
      <c r="D20" s="201">
        <f t="shared" si="0"/>
        <v>108459</v>
      </c>
      <c r="E20" s="201">
        <f t="shared" si="0"/>
        <v>115649</v>
      </c>
      <c r="F20" s="201">
        <f t="shared" si="0"/>
        <v>123491</v>
      </c>
      <c r="G20" s="201">
        <f t="shared" si="0"/>
        <v>129255</v>
      </c>
      <c r="H20" s="201">
        <f t="shared" si="0"/>
        <v>135231</v>
      </c>
      <c r="I20" s="201">
        <f t="shared" si="0"/>
        <v>139827</v>
      </c>
      <c r="J20" s="201">
        <f>SUM(J7:J19)</f>
        <v>146779</v>
      </c>
      <c r="K20" s="201">
        <f t="shared" ref="K20:T20" si="1">SUM(K7:K19)</f>
        <v>151054</v>
      </c>
      <c r="L20" s="201">
        <f t="shared" si="1"/>
        <v>158433</v>
      </c>
      <c r="M20" s="201">
        <f t="shared" si="1"/>
        <v>166085</v>
      </c>
      <c r="N20" s="201">
        <f t="shared" si="1"/>
        <v>174291</v>
      </c>
      <c r="O20" s="201">
        <f t="shared" si="1"/>
        <v>178626.40000000002</v>
      </c>
      <c r="P20" s="201">
        <f t="shared" si="1"/>
        <v>186192.1</v>
      </c>
      <c r="Q20" s="201">
        <f t="shared" si="1"/>
        <v>193475.8</v>
      </c>
      <c r="R20" s="201">
        <f t="shared" si="1"/>
        <v>202151</v>
      </c>
      <c r="S20" s="201">
        <f t="shared" si="1"/>
        <v>211279</v>
      </c>
      <c r="T20" s="201">
        <f t="shared" si="1"/>
        <v>209272</v>
      </c>
    </row>
    <row r="21" spans="1:20" ht="17.25" customHeight="1">
      <c r="A21" s="202" t="s">
        <v>186</v>
      </c>
      <c r="B21" s="193">
        <v>6274</v>
      </c>
      <c r="C21" s="193">
        <v>6363</v>
      </c>
      <c r="D21" s="203">
        <v>6587</v>
      </c>
      <c r="E21" s="203">
        <v>6689</v>
      </c>
      <c r="F21" s="192">
        <v>6737</v>
      </c>
      <c r="G21" s="192">
        <v>6929</v>
      </c>
      <c r="H21" s="192">
        <v>7038</v>
      </c>
      <c r="I21" s="192">
        <v>7211</v>
      </c>
      <c r="J21" s="192">
        <v>8286</v>
      </c>
      <c r="K21" s="192">
        <v>8470</v>
      </c>
      <c r="L21" s="192">
        <v>9132</v>
      </c>
      <c r="M21" s="192">
        <v>9329</v>
      </c>
      <c r="N21" s="192">
        <v>9123</v>
      </c>
      <c r="O21" s="192">
        <v>9291</v>
      </c>
      <c r="P21" s="192">
        <v>9471</v>
      </c>
      <c r="Q21" s="192">
        <v>9721</v>
      </c>
      <c r="R21" s="192">
        <v>9840</v>
      </c>
      <c r="S21" s="192">
        <v>9830</v>
      </c>
      <c r="T21" s="192">
        <v>9800</v>
      </c>
    </row>
    <row r="22" spans="1:20" ht="17.25" customHeight="1">
      <c r="A22" s="197" t="s">
        <v>185</v>
      </c>
      <c r="B22" s="192">
        <v>8022</v>
      </c>
      <c r="C22" s="192">
        <v>8138</v>
      </c>
      <c r="D22" s="197">
        <v>8186</v>
      </c>
      <c r="E22" s="197">
        <v>8414</v>
      </c>
      <c r="F22" s="192">
        <v>8528</v>
      </c>
      <c r="G22" s="192">
        <v>8403</v>
      </c>
      <c r="H22" s="192">
        <v>8402</v>
      </c>
      <c r="I22" s="192">
        <v>8282</v>
      </c>
      <c r="J22" s="192">
        <v>7205</v>
      </c>
      <c r="K22" s="192">
        <v>7447</v>
      </c>
      <c r="L22" s="192">
        <v>7611</v>
      </c>
      <c r="M22" s="192">
        <v>7757</v>
      </c>
      <c r="N22" s="192">
        <v>7926</v>
      </c>
      <c r="O22" s="192">
        <v>8000</v>
      </c>
      <c r="P22" s="192">
        <v>8203</v>
      </c>
      <c r="Q22" s="192">
        <v>8220</v>
      </c>
      <c r="R22" s="192">
        <v>8330</v>
      </c>
      <c r="S22" s="192">
        <v>8460</v>
      </c>
      <c r="T22" s="192">
        <v>8640</v>
      </c>
    </row>
    <row r="23" spans="1:20" ht="17.25" customHeight="1">
      <c r="A23" s="197" t="s">
        <v>188</v>
      </c>
      <c r="B23" s="192">
        <v>968</v>
      </c>
      <c r="C23" s="192">
        <v>1018</v>
      </c>
      <c r="D23" s="197">
        <v>1011</v>
      </c>
      <c r="E23" s="197">
        <v>1012</v>
      </c>
      <c r="F23" s="192">
        <v>1050</v>
      </c>
      <c r="G23" s="192">
        <v>1040</v>
      </c>
      <c r="H23" s="192">
        <v>971</v>
      </c>
      <c r="I23" s="192">
        <v>1047</v>
      </c>
      <c r="J23" s="192">
        <v>7927</v>
      </c>
      <c r="K23" s="192">
        <v>8064</v>
      </c>
      <c r="L23" s="192">
        <v>8231</v>
      </c>
      <c r="M23" s="192">
        <v>8395</v>
      </c>
      <c r="N23" s="192">
        <v>8534</v>
      </c>
      <c r="O23" s="192">
        <v>8532</v>
      </c>
      <c r="P23" s="192">
        <v>8580</v>
      </c>
      <c r="Q23" s="192">
        <v>8748</v>
      </c>
      <c r="R23" s="192">
        <v>8860</v>
      </c>
      <c r="S23" s="192">
        <v>8110</v>
      </c>
      <c r="T23" s="192">
        <v>8050</v>
      </c>
    </row>
    <row r="24" spans="1:20" ht="17.25" customHeight="1">
      <c r="A24" s="197" t="s">
        <v>187</v>
      </c>
      <c r="B24" s="204">
        <v>7004</v>
      </c>
      <c r="C24" s="204">
        <v>7223</v>
      </c>
      <c r="D24" s="205">
        <v>7288</v>
      </c>
      <c r="E24" s="205">
        <v>7555</v>
      </c>
      <c r="F24" s="192">
        <v>7675</v>
      </c>
      <c r="G24" s="192">
        <v>7643</v>
      </c>
      <c r="H24" s="192">
        <v>7835</v>
      </c>
      <c r="I24" s="192">
        <v>7727</v>
      </c>
      <c r="J24" s="192">
        <v>1016</v>
      </c>
      <c r="K24" s="192">
        <v>1000</v>
      </c>
      <c r="L24" s="192">
        <v>1042</v>
      </c>
      <c r="M24" s="192">
        <v>830</v>
      </c>
      <c r="N24" s="192">
        <v>879</v>
      </c>
      <c r="O24" s="192">
        <v>882</v>
      </c>
      <c r="P24" s="192">
        <v>920</v>
      </c>
      <c r="Q24" s="192">
        <v>941</v>
      </c>
      <c r="R24" s="192">
        <v>1000</v>
      </c>
      <c r="S24" s="192">
        <v>1050</v>
      </c>
      <c r="T24" s="192">
        <v>960</v>
      </c>
    </row>
    <row r="25" spans="1:20" ht="17.25" customHeight="1">
      <c r="A25" s="200" t="s">
        <v>319</v>
      </c>
      <c r="B25" s="201">
        <f>SUM(B21:B24)</f>
        <v>22268</v>
      </c>
      <c r="C25" s="201">
        <f t="shared" ref="C25:I25" si="2">SUM(C21:C24)</f>
        <v>22742</v>
      </c>
      <c r="D25" s="201">
        <f t="shared" si="2"/>
        <v>23072</v>
      </c>
      <c r="E25" s="201">
        <f t="shared" si="2"/>
        <v>23670</v>
      </c>
      <c r="F25" s="201">
        <f t="shared" si="2"/>
        <v>23990</v>
      </c>
      <c r="G25" s="201">
        <f t="shared" si="2"/>
        <v>24015</v>
      </c>
      <c r="H25" s="201">
        <f t="shared" si="2"/>
        <v>24246</v>
      </c>
      <c r="I25" s="201">
        <f t="shared" si="2"/>
        <v>24267</v>
      </c>
      <c r="J25" s="201">
        <f>SUM(J21:J24)</f>
        <v>24434</v>
      </c>
      <c r="K25" s="201">
        <f t="shared" ref="K25:P25" si="3">SUM(K21:K24)</f>
        <v>24981</v>
      </c>
      <c r="L25" s="201">
        <f t="shared" si="3"/>
        <v>26016</v>
      </c>
      <c r="M25" s="201">
        <f t="shared" si="3"/>
        <v>26311</v>
      </c>
      <c r="N25" s="201">
        <f t="shared" si="3"/>
        <v>26462</v>
      </c>
      <c r="O25" s="201">
        <f t="shared" si="3"/>
        <v>26705</v>
      </c>
      <c r="P25" s="201">
        <f t="shared" si="3"/>
        <v>27174</v>
      </c>
      <c r="Q25" s="201">
        <f>SUM(Q21:Q24)</f>
        <v>27630</v>
      </c>
      <c r="R25" s="201">
        <f t="shared" ref="R25:T25" si="4">SUM(R21:R24)</f>
        <v>28030</v>
      </c>
      <c r="S25" s="201">
        <f t="shared" si="4"/>
        <v>27450</v>
      </c>
      <c r="T25" s="201">
        <f t="shared" si="4"/>
        <v>27450</v>
      </c>
    </row>
    <row r="26" spans="1:20" ht="17.25" customHeight="1">
      <c r="A26" s="206" t="s">
        <v>189</v>
      </c>
      <c r="B26" s="201">
        <f>SUM(B25,B20)</f>
        <v>121378</v>
      </c>
      <c r="C26" s="201">
        <f t="shared" ref="C26:I26" si="5">SUM(C25,C20)</f>
        <v>125782</v>
      </c>
      <c r="D26" s="201">
        <f t="shared" si="5"/>
        <v>131531</v>
      </c>
      <c r="E26" s="201">
        <f t="shared" si="5"/>
        <v>139319</v>
      </c>
      <c r="F26" s="201">
        <f t="shared" si="5"/>
        <v>147481</v>
      </c>
      <c r="G26" s="201">
        <f t="shared" si="5"/>
        <v>153270</v>
      </c>
      <c r="H26" s="201">
        <f t="shared" si="5"/>
        <v>159477</v>
      </c>
      <c r="I26" s="201">
        <f t="shared" si="5"/>
        <v>164094</v>
      </c>
      <c r="J26" s="201">
        <f>SUM(J20+J25)</f>
        <v>171213</v>
      </c>
      <c r="K26" s="201">
        <f t="shared" ref="K26:P26" si="6">SUM(K20+K25)</f>
        <v>176035</v>
      </c>
      <c r="L26" s="201">
        <f t="shared" si="6"/>
        <v>184449</v>
      </c>
      <c r="M26" s="201">
        <f t="shared" si="6"/>
        <v>192396</v>
      </c>
      <c r="N26" s="201">
        <f t="shared" si="6"/>
        <v>200753</v>
      </c>
      <c r="O26" s="201">
        <f t="shared" si="6"/>
        <v>205331.40000000002</v>
      </c>
      <c r="P26" s="201">
        <f t="shared" si="6"/>
        <v>213366.1</v>
      </c>
      <c r="Q26" s="201">
        <f>SUM(Q20+Q25)</f>
        <v>221105.8</v>
      </c>
      <c r="R26" s="201">
        <f t="shared" ref="R26:T26" si="7">SUM(R20+R25)</f>
        <v>230181</v>
      </c>
      <c r="S26" s="201">
        <f t="shared" si="7"/>
        <v>238729</v>
      </c>
      <c r="T26" s="201">
        <f t="shared" si="7"/>
        <v>236722</v>
      </c>
    </row>
    <row r="27" spans="1:20" ht="17.25" customHeight="1">
      <c r="A27" s="184" t="s">
        <v>312</v>
      </c>
      <c r="B27" s="207"/>
      <c r="C27" s="207"/>
      <c r="D27" s="207"/>
      <c r="E27" s="207"/>
      <c r="F27" s="207"/>
      <c r="G27" s="207"/>
    </row>
    <row r="28" spans="1:20" ht="17.25" customHeight="1">
      <c r="G28" s="208"/>
      <c r="H28" s="208"/>
      <c r="I28" s="208"/>
      <c r="J28" s="208"/>
      <c r="K28" s="208"/>
      <c r="L28" s="208"/>
      <c r="M28" s="208"/>
      <c r="N28" s="208"/>
    </row>
  </sheetData>
  <sortState ref="A21:T24">
    <sortCondition descending="1" ref="T21:T24"/>
  </sortState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1" manualBreakCount="1">
    <brk id="29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showOutlineSymbols="0" view="pageBreakPreview" zoomScaleNormal="100" zoomScaleSheetLayoutView="100" workbookViewId="0">
      <selection activeCell="H38" sqref="H38"/>
    </sheetView>
  </sheetViews>
  <sheetFormatPr defaultColWidth="14.5" defaultRowHeight="17.25" customHeight="1"/>
  <cols>
    <col min="1" max="1" width="28.6640625" style="184" customWidth="1"/>
    <col min="2" max="9" width="10.6640625" style="184" hidden="1" customWidth="1"/>
    <col min="10" max="20" width="12.5" style="184" customWidth="1"/>
    <col min="21" max="16384" width="14.5" style="184"/>
  </cols>
  <sheetData>
    <row r="2" spans="1:20" ht="17.25" customHeight="1">
      <c r="A2" s="613" t="s">
        <v>165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</row>
    <row r="3" spans="1:20" ht="17.25" customHeight="1">
      <c r="A3" s="614" t="s">
        <v>324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1:20" ht="17.25" customHeight="1">
      <c r="A4" s="613" t="s">
        <v>14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</row>
    <row r="6" spans="1:20" ht="17.25" customHeight="1">
      <c r="A6" s="185" t="s">
        <v>317</v>
      </c>
      <c r="B6" s="186">
        <v>2002</v>
      </c>
      <c r="C6" s="187">
        <v>2003</v>
      </c>
      <c r="D6" s="187">
        <v>2004</v>
      </c>
      <c r="E6" s="188">
        <v>2005</v>
      </c>
      <c r="F6" s="188">
        <v>2006</v>
      </c>
      <c r="G6" s="188">
        <v>2007</v>
      </c>
      <c r="H6" s="188">
        <v>2008</v>
      </c>
      <c r="I6" s="188">
        <v>2009</v>
      </c>
      <c r="J6" s="188">
        <v>2010</v>
      </c>
      <c r="K6" s="188">
        <v>2011</v>
      </c>
      <c r="L6" s="188">
        <v>2012</v>
      </c>
      <c r="M6" s="188">
        <v>2013</v>
      </c>
      <c r="N6" s="188">
        <v>2014</v>
      </c>
      <c r="O6" s="188">
        <v>2015</v>
      </c>
      <c r="P6" s="188">
        <v>2016</v>
      </c>
      <c r="Q6" s="188">
        <v>2017</v>
      </c>
      <c r="R6" s="188">
        <v>2018</v>
      </c>
      <c r="S6" s="188">
        <v>2019</v>
      </c>
      <c r="T6" s="188">
        <v>2020</v>
      </c>
    </row>
    <row r="7" spans="1:20" ht="17.25" customHeight="1">
      <c r="A7" s="189" t="s">
        <v>12</v>
      </c>
      <c r="B7" s="190">
        <v>3976</v>
      </c>
      <c r="C7" s="190">
        <v>4043</v>
      </c>
      <c r="D7" s="191">
        <v>4786</v>
      </c>
      <c r="E7" s="191">
        <v>5294</v>
      </c>
      <c r="F7" s="192">
        <v>5536</v>
      </c>
      <c r="G7" s="193">
        <v>6230</v>
      </c>
      <c r="H7" s="193">
        <v>7316</v>
      </c>
      <c r="I7" s="193">
        <v>7604</v>
      </c>
      <c r="J7" s="193">
        <v>8038</v>
      </c>
      <c r="K7" s="193">
        <v>10157</v>
      </c>
      <c r="L7" s="193">
        <v>12100</v>
      </c>
      <c r="M7" s="193">
        <v>11269</v>
      </c>
      <c r="N7" s="193">
        <v>11856</v>
      </c>
      <c r="O7" s="193">
        <v>13527</v>
      </c>
      <c r="P7" s="193">
        <v>10652</v>
      </c>
      <c r="Q7" s="193">
        <v>13105</v>
      </c>
      <c r="R7" s="193">
        <v>15265</v>
      </c>
      <c r="S7" s="193">
        <v>13644</v>
      </c>
      <c r="T7" s="193">
        <v>11856</v>
      </c>
    </row>
    <row r="8" spans="1:20" ht="17.25" customHeight="1">
      <c r="A8" s="194" t="s">
        <v>234</v>
      </c>
      <c r="B8" s="195">
        <v>3512</v>
      </c>
      <c r="C8" s="195">
        <v>3228</v>
      </c>
      <c r="D8" s="196">
        <v>2821</v>
      </c>
      <c r="E8" s="196">
        <v>3396</v>
      </c>
      <c r="F8" s="192">
        <v>3960</v>
      </c>
      <c r="G8" s="192">
        <v>4395</v>
      </c>
      <c r="H8" s="192">
        <v>4055</v>
      </c>
      <c r="I8" s="192">
        <v>4214</v>
      </c>
      <c r="J8" s="192">
        <v>4915</v>
      </c>
      <c r="K8" s="192">
        <v>4547</v>
      </c>
      <c r="L8" s="192">
        <v>4632</v>
      </c>
      <c r="M8" s="192">
        <v>4363</v>
      </c>
      <c r="N8" s="192">
        <v>4171</v>
      </c>
      <c r="O8" s="192">
        <v>5382</v>
      </c>
      <c r="P8" s="192">
        <v>5346</v>
      </c>
      <c r="Q8" s="192">
        <v>5754</v>
      </c>
      <c r="R8" s="192">
        <v>5993</v>
      </c>
      <c r="S8" s="192">
        <v>5830</v>
      </c>
      <c r="T8" s="192">
        <v>6295</v>
      </c>
    </row>
    <row r="9" spans="1:20" ht="17.25" customHeight="1">
      <c r="A9" s="194" t="s">
        <v>177</v>
      </c>
      <c r="B9" s="195">
        <v>1077</v>
      </c>
      <c r="C9" s="195">
        <v>1234</v>
      </c>
      <c r="D9" s="196">
        <v>1011</v>
      </c>
      <c r="E9" s="196">
        <v>1224</v>
      </c>
      <c r="F9" s="192">
        <v>1403</v>
      </c>
      <c r="G9" s="192">
        <v>1203</v>
      </c>
      <c r="H9" s="192">
        <v>1398</v>
      </c>
      <c r="I9" s="192">
        <v>1864</v>
      </c>
      <c r="J9" s="192">
        <v>1662</v>
      </c>
      <c r="K9" s="192">
        <v>1837</v>
      </c>
      <c r="L9" s="192">
        <v>2417</v>
      </c>
      <c r="M9" s="192">
        <v>2129</v>
      </c>
      <c r="N9" s="192">
        <v>2430</v>
      </c>
      <c r="O9" s="192">
        <v>2459</v>
      </c>
      <c r="P9" s="192">
        <v>2586</v>
      </c>
      <c r="Q9" s="192">
        <v>3011</v>
      </c>
      <c r="R9" s="192">
        <v>2900</v>
      </c>
      <c r="S9" s="192">
        <v>3440</v>
      </c>
      <c r="T9" s="192">
        <v>3317</v>
      </c>
    </row>
    <row r="10" spans="1:20" ht="17.25" customHeight="1">
      <c r="A10" s="194" t="s">
        <v>27</v>
      </c>
      <c r="B10" s="195">
        <v>1022</v>
      </c>
      <c r="C10" s="195">
        <v>975</v>
      </c>
      <c r="D10" s="196">
        <v>1025</v>
      </c>
      <c r="E10" s="196">
        <v>1154</v>
      </c>
      <c r="F10" s="192">
        <v>1495</v>
      </c>
      <c r="G10" s="192">
        <v>1320</v>
      </c>
      <c r="H10" s="192">
        <v>1529</v>
      </c>
      <c r="I10" s="192">
        <v>2186</v>
      </c>
      <c r="J10" s="192">
        <v>2718</v>
      </c>
      <c r="K10" s="192">
        <v>3564</v>
      </c>
      <c r="L10" s="192">
        <v>4699</v>
      </c>
      <c r="M10" s="192">
        <v>6069</v>
      </c>
      <c r="N10" s="192">
        <v>6774</v>
      </c>
      <c r="O10" s="192">
        <v>6085</v>
      </c>
      <c r="P10" s="192">
        <v>4499</v>
      </c>
      <c r="Q10" s="192">
        <v>3568</v>
      </c>
      <c r="R10" s="192">
        <v>3281</v>
      </c>
      <c r="S10" s="192">
        <v>2983</v>
      </c>
      <c r="T10" s="192">
        <v>3217</v>
      </c>
    </row>
    <row r="11" spans="1:20" ht="17.25" customHeight="1">
      <c r="A11" s="197" t="s">
        <v>180</v>
      </c>
      <c r="B11" s="195">
        <v>1070</v>
      </c>
      <c r="C11" s="195">
        <v>1158</v>
      </c>
      <c r="D11" s="196">
        <v>1339</v>
      </c>
      <c r="E11" s="196">
        <v>1402</v>
      </c>
      <c r="F11" s="192">
        <v>1282</v>
      </c>
      <c r="G11" s="192">
        <v>1167</v>
      </c>
      <c r="H11" s="192">
        <v>1067</v>
      </c>
      <c r="I11" s="192">
        <v>995</v>
      </c>
      <c r="J11" s="192">
        <v>1096</v>
      </c>
      <c r="K11" s="192">
        <v>1329</v>
      </c>
      <c r="L11" s="192">
        <v>1554</v>
      </c>
      <c r="M11" s="192">
        <v>1282</v>
      </c>
      <c r="N11" s="192">
        <v>1432</v>
      </c>
      <c r="O11" s="192">
        <v>1386</v>
      </c>
      <c r="P11" s="192">
        <v>1123</v>
      </c>
      <c r="Q11" s="192">
        <v>1030</v>
      </c>
      <c r="R11" s="192">
        <v>1410</v>
      </c>
      <c r="S11" s="192">
        <v>1730</v>
      </c>
      <c r="T11" s="192">
        <v>1570</v>
      </c>
    </row>
    <row r="12" spans="1:20" ht="17.25" customHeight="1">
      <c r="A12" s="194" t="s">
        <v>4</v>
      </c>
      <c r="B12" s="195">
        <v>514</v>
      </c>
      <c r="C12" s="195">
        <v>413</v>
      </c>
      <c r="D12" s="196">
        <v>359</v>
      </c>
      <c r="E12" s="196">
        <v>427</v>
      </c>
      <c r="F12" s="192">
        <v>546</v>
      </c>
      <c r="G12" s="192">
        <v>464</v>
      </c>
      <c r="H12" s="192">
        <v>617</v>
      </c>
      <c r="I12" s="192">
        <v>580</v>
      </c>
      <c r="J12" s="192">
        <v>542</v>
      </c>
      <c r="K12" s="192">
        <v>758</v>
      </c>
      <c r="L12" s="192">
        <v>960</v>
      </c>
      <c r="M12" s="192">
        <v>879</v>
      </c>
      <c r="N12" s="192">
        <v>965</v>
      </c>
      <c r="O12" s="192">
        <v>1060</v>
      </c>
      <c r="P12" s="192">
        <v>875</v>
      </c>
      <c r="Q12" s="192">
        <v>1006</v>
      </c>
      <c r="R12" s="192">
        <v>1306</v>
      </c>
      <c r="S12" s="192">
        <v>1357</v>
      </c>
      <c r="T12" s="192">
        <v>1291</v>
      </c>
    </row>
    <row r="13" spans="1:20" ht="17.25" customHeight="1">
      <c r="A13" s="194" t="s">
        <v>179</v>
      </c>
      <c r="B13" s="195">
        <v>528</v>
      </c>
      <c r="C13" s="195">
        <v>432</v>
      </c>
      <c r="D13" s="196">
        <v>424</v>
      </c>
      <c r="E13" s="196">
        <v>404</v>
      </c>
      <c r="F13" s="192">
        <v>402</v>
      </c>
      <c r="G13" s="192">
        <v>383</v>
      </c>
      <c r="H13" s="192">
        <v>396</v>
      </c>
      <c r="I13" s="192">
        <v>449</v>
      </c>
      <c r="J13" s="192">
        <v>475</v>
      </c>
      <c r="K13" s="192">
        <v>371</v>
      </c>
      <c r="L13" s="192">
        <v>429</v>
      </c>
      <c r="M13" s="192">
        <v>355</v>
      </c>
      <c r="N13" s="192">
        <v>368</v>
      </c>
      <c r="O13" s="192">
        <v>445</v>
      </c>
      <c r="P13" s="192">
        <v>358</v>
      </c>
      <c r="Q13" s="192">
        <v>329</v>
      </c>
      <c r="R13" s="192">
        <v>517</v>
      </c>
      <c r="S13" s="192">
        <v>513</v>
      </c>
      <c r="T13" s="192">
        <v>441</v>
      </c>
    </row>
    <row r="14" spans="1:20" ht="17.25" customHeight="1">
      <c r="A14" s="194" t="s">
        <v>175</v>
      </c>
      <c r="B14" s="195">
        <v>367</v>
      </c>
      <c r="C14" s="195">
        <v>340</v>
      </c>
      <c r="D14" s="196">
        <v>398</v>
      </c>
      <c r="E14" s="196">
        <v>415</v>
      </c>
      <c r="F14" s="192">
        <v>435</v>
      </c>
      <c r="G14" s="192">
        <v>445</v>
      </c>
      <c r="H14" s="192">
        <v>438</v>
      </c>
      <c r="I14" s="192">
        <v>445</v>
      </c>
      <c r="J14" s="192">
        <v>441</v>
      </c>
      <c r="K14" s="192">
        <v>478</v>
      </c>
      <c r="L14" s="192">
        <v>471</v>
      </c>
      <c r="M14" s="192">
        <v>436</v>
      </c>
      <c r="N14" s="192">
        <v>439</v>
      </c>
      <c r="O14" s="192">
        <v>434</v>
      </c>
      <c r="P14" s="192">
        <v>383</v>
      </c>
      <c r="Q14" s="192">
        <v>430</v>
      </c>
      <c r="R14" s="192">
        <v>420</v>
      </c>
      <c r="S14" s="192">
        <v>370</v>
      </c>
      <c r="T14" s="192">
        <v>350</v>
      </c>
    </row>
    <row r="15" spans="1:20" ht="17.25" customHeight="1">
      <c r="A15" s="197" t="s">
        <v>178</v>
      </c>
      <c r="B15" s="195">
        <v>174</v>
      </c>
      <c r="C15" s="195">
        <v>175</v>
      </c>
      <c r="D15" s="196">
        <v>132</v>
      </c>
      <c r="E15" s="196">
        <v>162</v>
      </c>
      <c r="F15" s="192">
        <v>233</v>
      </c>
      <c r="G15" s="192">
        <v>222</v>
      </c>
      <c r="H15" s="192">
        <v>267</v>
      </c>
      <c r="I15" s="192">
        <v>218</v>
      </c>
      <c r="J15" s="192">
        <v>174</v>
      </c>
      <c r="K15" s="192">
        <v>233</v>
      </c>
      <c r="L15" s="192">
        <v>281</v>
      </c>
      <c r="M15" s="192">
        <v>295</v>
      </c>
      <c r="N15" s="192">
        <v>324</v>
      </c>
      <c r="O15" s="192">
        <v>272</v>
      </c>
      <c r="P15" s="192">
        <v>271</v>
      </c>
      <c r="Q15" s="192">
        <v>350</v>
      </c>
      <c r="R15" s="192">
        <v>300</v>
      </c>
      <c r="S15" s="192">
        <v>300</v>
      </c>
      <c r="T15" s="192">
        <v>300</v>
      </c>
    </row>
    <row r="16" spans="1:20" ht="17.25" customHeight="1">
      <c r="A16" s="197" t="s">
        <v>176</v>
      </c>
      <c r="B16" s="195">
        <v>440</v>
      </c>
      <c r="C16" s="195">
        <v>404</v>
      </c>
      <c r="D16" s="196">
        <v>427</v>
      </c>
      <c r="E16" s="196">
        <v>452</v>
      </c>
      <c r="F16" s="192">
        <v>420</v>
      </c>
      <c r="G16" s="192">
        <v>391</v>
      </c>
      <c r="H16" s="192">
        <v>370</v>
      </c>
      <c r="I16" s="192">
        <v>331</v>
      </c>
      <c r="J16" s="192">
        <v>382</v>
      </c>
      <c r="K16" s="192">
        <v>389</v>
      </c>
      <c r="L16" s="192">
        <v>322</v>
      </c>
      <c r="M16" s="192">
        <v>377</v>
      </c>
      <c r="N16" s="192">
        <v>248</v>
      </c>
      <c r="O16" s="192">
        <v>275</v>
      </c>
      <c r="P16" s="192">
        <v>311</v>
      </c>
      <c r="Q16" s="192">
        <v>340</v>
      </c>
      <c r="R16" s="192">
        <v>350</v>
      </c>
      <c r="S16" s="192">
        <v>270</v>
      </c>
      <c r="T16" s="192">
        <v>270</v>
      </c>
    </row>
    <row r="17" spans="1:20" ht="17.25" customHeight="1">
      <c r="A17" s="197" t="s">
        <v>181</v>
      </c>
      <c r="B17" s="195">
        <v>83</v>
      </c>
      <c r="C17" s="195">
        <v>45</v>
      </c>
      <c r="D17" s="196">
        <v>49</v>
      </c>
      <c r="E17" s="196">
        <v>61</v>
      </c>
      <c r="F17" s="192">
        <v>56</v>
      </c>
      <c r="G17" s="192">
        <v>39</v>
      </c>
      <c r="H17" s="192">
        <v>86</v>
      </c>
      <c r="I17" s="192">
        <v>75</v>
      </c>
      <c r="J17" s="192">
        <v>77</v>
      </c>
      <c r="K17" s="192">
        <v>71</v>
      </c>
      <c r="L17" s="192">
        <v>77</v>
      </c>
      <c r="M17" s="192">
        <v>115</v>
      </c>
      <c r="N17" s="192">
        <v>105</v>
      </c>
      <c r="O17" s="192">
        <v>112</v>
      </c>
      <c r="P17" s="192">
        <v>131</v>
      </c>
      <c r="Q17" s="192">
        <v>140</v>
      </c>
      <c r="R17" s="192">
        <v>180</v>
      </c>
      <c r="S17" s="192">
        <v>110</v>
      </c>
      <c r="T17" s="192">
        <v>130</v>
      </c>
    </row>
    <row r="18" spans="1:20" ht="17.25" customHeight="1">
      <c r="A18" s="197" t="s">
        <v>183</v>
      </c>
      <c r="B18" s="195">
        <v>77</v>
      </c>
      <c r="C18" s="195">
        <v>80</v>
      </c>
      <c r="D18" s="196">
        <v>75</v>
      </c>
      <c r="E18" s="196">
        <v>74</v>
      </c>
      <c r="F18" s="192">
        <v>94</v>
      </c>
      <c r="G18" s="192">
        <v>88</v>
      </c>
      <c r="H18" s="192">
        <v>86</v>
      </c>
      <c r="I18" s="192">
        <v>68</v>
      </c>
      <c r="J18" s="192">
        <v>93</v>
      </c>
      <c r="K18" s="192">
        <v>83</v>
      </c>
      <c r="L18" s="192">
        <v>84</v>
      </c>
      <c r="M18" s="192">
        <v>76</v>
      </c>
      <c r="N18" s="192">
        <v>79</v>
      </c>
      <c r="O18" s="192">
        <v>95</v>
      </c>
      <c r="P18" s="192">
        <v>114</v>
      </c>
      <c r="Q18" s="192">
        <v>110</v>
      </c>
      <c r="R18" s="192">
        <v>100</v>
      </c>
      <c r="S18" s="192">
        <v>110</v>
      </c>
      <c r="T18" s="192">
        <v>110</v>
      </c>
    </row>
    <row r="19" spans="1:20" ht="17.25" customHeight="1">
      <c r="A19" s="197" t="s">
        <v>182</v>
      </c>
      <c r="B19" s="198">
        <v>47</v>
      </c>
      <c r="C19" s="198">
        <v>47</v>
      </c>
      <c r="D19" s="199">
        <v>48</v>
      </c>
      <c r="E19" s="199">
        <v>48</v>
      </c>
      <c r="F19" s="192">
        <v>47</v>
      </c>
      <c r="G19" s="192">
        <v>47</v>
      </c>
      <c r="H19" s="192">
        <v>47</v>
      </c>
      <c r="I19" s="192">
        <v>47</v>
      </c>
      <c r="J19" s="192">
        <v>48</v>
      </c>
      <c r="K19" s="192">
        <v>50</v>
      </c>
      <c r="L19" s="192">
        <v>50</v>
      </c>
      <c r="M19" s="192">
        <v>47</v>
      </c>
      <c r="N19" s="192">
        <v>48</v>
      </c>
      <c r="O19" s="192">
        <v>49</v>
      </c>
      <c r="P19" s="192">
        <v>49</v>
      </c>
      <c r="Q19" s="192">
        <v>50</v>
      </c>
      <c r="R19" s="192">
        <v>50</v>
      </c>
      <c r="S19" s="192">
        <v>50</v>
      </c>
      <c r="T19" s="192">
        <v>50</v>
      </c>
    </row>
    <row r="20" spans="1:20" ht="17.25" customHeight="1">
      <c r="A20" s="200" t="s">
        <v>184</v>
      </c>
      <c r="B20" s="201">
        <f t="shared" ref="B20:I20" si="0">SUM(B7:B19)</f>
        <v>12887</v>
      </c>
      <c r="C20" s="201">
        <f t="shared" si="0"/>
        <v>12574</v>
      </c>
      <c r="D20" s="201">
        <f t="shared" si="0"/>
        <v>12894</v>
      </c>
      <c r="E20" s="201">
        <f t="shared" si="0"/>
        <v>14513</v>
      </c>
      <c r="F20" s="201">
        <f t="shared" si="0"/>
        <v>15909</v>
      </c>
      <c r="G20" s="201">
        <f t="shared" si="0"/>
        <v>16394</v>
      </c>
      <c r="H20" s="201">
        <f t="shared" si="0"/>
        <v>17672</v>
      </c>
      <c r="I20" s="201">
        <f t="shared" si="0"/>
        <v>19076</v>
      </c>
      <c r="J20" s="201">
        <f>SUM(J7:J19)</f>
        <v>20661</v>
      </c>
      <c r="K20" s="201">
        <f t="shared" ref="K20:T20" si="1">SUM(K7:K19)</f>
        <v>23867</v>
      </c>
      <c r="L20" s="201">
        <f t="shared" si="1"/>
        <v>28076</v>
      </c>
      <c r="M20" s="201">
        <f t="shared" si="1"/>
        <v>27692</v>
      </c>
      <c r="N20" s="201">
        <f t="shared" si="1"/>
        <v>29239</v>
      </c>
      <c r="O20" s="201">
        <f t="shared" si="1"/>
        <v>31581</v>
      </c>
      <c r="P20" s="201">
        <f t="shared" si="1"/>
        <v>26698</v>
      </c>
      <c r="Q20" s="201">
        <f t="shared" si="1"/>
        <v>29223</v>
      </c>
      <c r="R20" s="201">
        <f t="shared" si="1"/>
        <v>32072</v>
      </c>
      <c r="S20" s="201">
        <f t="shared" si="1"/>
        <v>30707</v>
      </c>
      <c r="T20" s="201">
        <f t="shared" si="1"/>
        <v>29197</v>
      </c>
    </row>
    <row r="21" spans="1:20" ht="17.25" customHeight="1">
      <c r="A21" s="202" t="s">
        <v>185</v>
      </c>
      <c r="B21" s="193">
        <v>688</v>
      </c>
      <c r="C21" s="193">
        <v>719</v>
      </c>
      <c r="D21" s="203">
        <v>622</v>
      </c>
      <c r="E21" s="203">
        <v>609</v>
      </c>
      <c r="F21" s="192">
        <v>616</v>
      </c>
      <c r="G21" s="192">
        <v>608</v>
      </c>
      <c r="H21" s="192">
        <v>646</v>
      </c>
      <c r="I21" s="192">
        <v>579</v>
      </c>
      <c r="J21" s="192">
        <v>548</v>
      </c>
      <c r="K21" s="192">
        <v>572</v>
      </c>
      <c r="L21" s="192">
        <v>603</v>
      </c>
      <c r="M21" s="192">
        <v>580</v>
      </c>
      <c r="N21" s="192">
        <v>595</v>
      </c>
      <c r="O21" s="192">
        <v>642</v>
      </c>
      <c r="P21" s="192">
        <v>637</v>
      </c>
      <c r="Q21" s="192">
        <v>640</v>
      </c>
      <c r="R21" s="192">
        <v>690</v>
      </c>
      <c r="S21" s="192">
        <v>690</v>
      </c>
      <c r="T21" s="192">
        <v>750</v>
      </c>
    </row>
    <row r="22" spans="1:20" ht="17.25" customHeight="1">
      <c r="A22" s="197" t="s">
        <v>186</v>
      </c>
      <c r="B22" s="192">
        <v>656</v>
      </c>
      <c r="C22" s="192">
        <v>550</v>
      </c>
      <c r="D22" s="197">
        <v>569</v>
      </c>
      <c r="E22" s="197">
        <v>532</v>
      </c>
      <c r="F22" s="192">
        <v>526</v>
      </c>
      <c r="G22" s="192">
        <v>613</v>
      </c>
      <c r="H22" s="192">
        <v>588</v>
      </c>
      <c r="I22" s="192">
        <v>547</v>
      </c>
      <c r="J22" s="192">
        <v>520</v>
      </c>
      <c r="K22" s="192">
        <v>543</v>
      </c>
      <c r="L22" s="192">
        <v>578</v>
      </c>
      <c r="M22" s="192">
        <v>570</v>
      </c>
      <c r="N22" s="192">
        <v>593</v>
      </c>
      <c r="O22" s="192">
        <v>610</v>
      </c>
      <c r="P22" s="192">
        <v>580</v>
      </c>
      <c r="Q22" s="192">
        <v>550</v>
      </c>
      <c r="R22" s="192">
        <v>620</v>
      </c>
      <c r="S22" s="192">
        <v>640</v>
      </c>
      <c r="T22" s="192">
        <v>590</v>
      </c>
    </row>
    <row r="23" spans="1:20" ht="17.25" customHeight="1">
      <c r="A23" s="197" t="s">
        <v>188</v>
      </c>
      <c r="B23" s="192">
        <v>445</v>
      </c>
      <c r="C23" s="192">
        <v>451</v>
      </c>
      <c r="D23" s="197">
        <v>465</v>
      </c>
      <c r="E23" s="197">
        <v>449</v>
      </c>
      <c r="F23" s="192">
        <v>468</v>
      </c>
      <c r="G23" s="192">
        <v>465</v>
      </c>
      <c r="H23" s="192">
        <v>448</v>
      </c>
      <c r="I23" s="192">
        <v>448</v>
      </c>
      <c r="J23" s="192">
        <v>481</v>
      </c>
      <c r="K23" s="192">
        <v>501</v>
      </c>
      <c r="L23" s="192">
        <v>518</v>
      </c>
      <c r="M23" s="192">
        <v>515</v>
      </c>
      <c r="N23" s="192">
        <v>502</v>
      </c>
      <c r="O23" s="192">
        <v>504</v>
      </c>
      <c r="P23" s="192">
        <v>514</v>
      </c>
      <c r="Q23" s="192">
        <v>530</v>
      </c>
      <c r="R23" s="192">
        <v>510</v>
      </c>
      <c r="S23" s="192">
        <v>480</v>
      </c>
      <c r="T23" s="192">
        <v>510</v>
      </c>
    </row>
    <row r="24" spans="1:20" ht="17.25" customHeight="1">
      <c r="A24" s="197" t="s">
        <v>187</v>
      </c>
      <c r="B24" s="204">
        <v>174</v>
      </c>
      <c r="C24" s="204">
        <v>141</v>
      </c>
      <c r="D24" s="205">
        <v>235</v>
      </c>
      <c r="E24" s="205">
        <v>245</v>
      </c>
      <c r="F24" s="192">
        <v>167</v>
      </c>
      <c r="G24" s="192">
        <v>191</v>
      </c>
      <c r="H24" s="192">
        <v>304</v>
      </c>
      <c r="I24" s="192">
        <v>294</v>
      </c>
      <c r="J24" s="192">
        <v>171</v>
      </c>
      <c r="K24" s="192">
        <v>266</v>
      </c>
      <c r="L24" s="192">
        <v>154</v>
      </c>
      <c r="M24" s="192">
        <v>235</v>
      </c>
      <c r="N24" s="192">
        <v>209</v>
      </c>
      <c r="O24" s="192">
        <v>246</v>
      </c>
      <c r="P24" s="192">
        <v>228</v>
      </c>
      <c r="Q24" s="192">
        <v>180</v>
      </c>
      <c r="R24" s="192">
        <v>300</v>
      </c>
      <c r="S24" s="192">
        <v>200</v>
      </c>
      <c r="T24" s="192">
        <v>240</v>
      </c>
    </row>
    <row r="25" spans="1:20" ht="17.25" customHeight="1">
      <c r="A25" s="200" t="s">
        <v>319</v>
      </c>
      <c r="B25" s="201">
        <f>SUM(B21:B24)</f>
        <v>1963</v>
      </c>
      <c r="C25" s="201">
        <f t="shared" ref="C25:I25" si="2">SUM(C21:C24)</f>
        <v>1861</v>
      </c>
      <c r="D25" s="201">
        <f t="shared" si="2"/>
        <v>1891</v>
      </c>
      <c r="E25" s="201">
        <f t="shared" si="2"/>
        <v>1835</v>
      </c>
      <c r="F25" s="201">
        <f t="shared" si="2"/>
        <v>1777</v>
      </c>
      <c r="G25" s="201">
        <f t="shared" si="2"/>
        <v>1877</v>
      </c>
      <c r="H25" s="201">
        <f t="shared" si="2"/>
        <v>1986</v>
      </c>
      <c r="I25" s="201">
        <f t="shared" si="2"/>
        <v>1868</v>
      </c>
      <c r="J25" s="201">
        <f>SUM(J21:J24)</f>
        <v>1720</v>
      </c>
      <c r="K25" s="201">
        <f t="shared" ref="K25:T25" si="3">SUM(K21:K24)</f>
        <v>1882</v>
      </c>
      <c r="L25" s="201">
        <f t="shared" si="3"/>
        <v>1853</v>
      </c>
      <c r="M25" s="201">
        <f t="shared" si="3"/>
        <v>1900</v>
      </c>
      <c r="N25" s="201">
        <f t="shared" si="3"/>
        <v>1899</v>
      </c>
      <c r="O25" s="201">
        <f t="shared" si="3"/>
        <v>2002</v>
      </c>
      <c r="P25" s="201">
        <f t="shared" si="3"/>
        <v>1959</v>
      </c>
      <c r="Q25" s="201">
        <f t="shared" si="3"/>
        <v>1900</v>
      </c>
      <c r="R25" s="201">
        <f t="shared" si="3"/>
        <v>2120</v>
      </c>
      <c r="S25" s="201">
        <f t="shared" si="3"/>
        <v>2010</v>
      </c>
      <c r="T25" s="201">
        <f t="shared" si="3"/>
        <v>2090</v>
      </c>
    </row>
    <row r="26" spans="1:20" ht="17.25" customHeight="1">
      <c r="A26" s="206" t="s">
        <v>189</v>
      </c>
      <c r="B26" s="201">
        <f>SUM(B25,B20)</f>
        <v>14850</v>
      </c>
      <c r="C26" s="201">
        <f t="shared" ref="C26:I26" si="4">SUM(C25,C20)</f>
        <v>14435</v>
      </c>
      <c r="D26" s="201">
        <f t="shared" si="4"/>
        <v>14785</v>
      </c>
      <c r="E26" s="201">
        <f t="shared" si="4"/>
        <v>16348</v>
      </c>
      <c r="F26" s="201">
        <f t="shared" si="4"/>
        <v>17686</v>
      </c>
      <c r="G26" s="201">
        <f t="shared" si="4"/>
        <v>18271</v>
      </c>
      <c r="H26" s="201">
        <f>SUM(H20+H25)</f>
        <v>19658</v>
      </c>
      <c r="I26" s="201">
        <f t="shared" si="4"/>
        <v>20944</v>
      </c>
      <c r="J26" s="201">
        <f>SUM(J20+J25)</f>
        <v>22381</v>
      </c>
      <c r="K26" s="201">
        <f t="shared" ref="K26:T26" si="5">SUM(K20+K25)</f>
        <v>25749</v>
      </c>
      <c r="L26" s="201">
        <f t="shared" si="5"/>
        <v>29929</v>
      </c>
      <c r="M26" s="201">
        <f t="shared" si="5"/>
        <v>29592</v>
      </c>
      <c r="N26" s="201">
        <f t="shared" si="5"/>
        <v>31138</v>
      </c>
      <c r="O26" s="201">
        <f t="shared" si="5"/>
        <v>33583</v>
      </c>
      <c r="P26" s="201">
        <f t="shared" si="5"/>
        <v>28657</v>
      </c>
      <c r="Q26" s="201">
        <f t="shared" si="5"/>
        <v>31123</v>
      </c>
      <c r="R26" s="201">
        <f t="shared" si="5"/>
        <v>34192</v>
      </c>
      <c r="S26" s="201">
        <f t="shared" si="5"/>
        <v>32717</v>
      </c>
      <c r="T26" s="201">
        <f t="shared" si="5"/>
        <v>31287</v>
      </c>
    </row>
    <row r="27" spans="1:20" ht="17.25" customHeight="1">
      <c r="A27" s="184" t="s">
        <v>312</v>
      </c>
      <c r="B27" s="207"/>
      <c r="C27" s="207"/>
      <c r="D27" s="207"/>
      <c r="E27" s="207"/>
      <c r="F27" s="207"/>
      <c r="G27" s="207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view="pageBreakPreview" zoomScaleNormal="100" zoomScaleSheetLayoutView="100" workbookViewId="0">
      <selection activeCell="H38" sqref="H38"/>
    </sheetView>
  </sheetViews>
  <sheetFormatPr defaultRowHeight="15"/>
  <cols>
    <col min="1" max="1" width="26.1640625" style="534" customWidth="1"/>
    <col min="2" max="4" width="26.33203125" style="534" customWidth="1"/>
    <col min="5" max="16384" width="9.33203125" style="534"/>
  </cols>
  <sheetData>
    <row r="2" spans="1:4">
      <c r="A2" s="565" t="s">
        <v>79</v>
      </c>
      <c r="B2" s="565"/>
      <c r="C2" s="565"/>
      <c r="D2" s="565"/>
    </row>
    <row r="3" spans="1:4">
      <c r="A3" s="566" t="s">
        <v>394</v>
      </c>
      <c r="B3" s="566"/>
      <c r="C3" s="566"/>
      <c r="D3" s="566"/>
    </row>
    <row r="4" spans="1:4">
      <c r="A4" s="566" t="s">
        <v>101</v>
      </c>
      <c r="B4" s="566"/>
      <c r="C4" s="566"/>
      <c r="D4" s="566"/>
    </row>
    <row r="5" spans="1:4" ht="15.75">
      <c r="A5" s="541"/>
    </row>
    <row r="6" spans="1:4" ht="21" customHeight="1">
      <c r="A6" s="550" t="s">
        <v>293</v>
      </c>
      <c r="B6" s="550" t="s">
        <v>354</v>
      </c>
      <c r="C6" s="550" t="s">
        <v>355</v>
      </c>
      <c r="D6" s="550" t="s">
        <v>151</v>
      </c>
    </row>
    <row r="7" spans="1:4" ht="20.25" customHeight="1">
      <c r="A7" s="551" t="s">
        <v>83</v>
      </c>
      <c r="B7" s="552">
        <v>688291</v>
      </c>
      <c r="C7" s="552">
        <v>52537</v>
      </c>
      <c r="D7" s="552">
        <v>740828</v>
      </c>
    </row>
    <row r="8" spans="1:4" ht="20.25" customHeight="1">
      <c r="A8" s="551" t="s">
        <v>89</v>
      </c>
      <c r="B8" s="552">
        <v>80210</v>
      </c>
      <c r="C8" s="552">
        <v>9572</v>
      </c>
      <c r="D8" s="552">
        <v>89782</v>
      </c>
    </row>
    <row r="9" spans="1:4" ht="20.25" customHeight="1">
      <c r="A9" s="551" t="s">
        <v>90</v>
      </c>
      <c r="B9" s="552">
        <v>131768</v>
      </c>
      <c r="C9" s="552">
        <v>35831</v>
      </c>
      <c r="D9" s="552">
        <v>167599</v>
      </c>
    </row>
    <row r="10" spans="1:4" ht="20.25" customHeight="1">
      <c r="A10" s="551" t="s">
        <v>91</v>
      </c>
      <c r="B10" s="552">
        <v>51672</v>
      </c>
      <c r="C10" s="552">
        <v>4689</v>
      </c>
      <c r="D10" s="552">
        <v>56361</v>
      </c>
    </row>
    <row r="11" spans="1:4" ht="20.25" customHeight="1">
      <c r="A11" s="551" t="s">
        <v>356</v>
      </c>
      <c r="B11" s="552">
        <v>173490</v>
      </c>
      <c r="C11" s="552">
        <v>16972</v>
      </c>
      <c r="D11" s="552">
        <v>190462</v>
      </c>
    </row>
    <row r="12" spans="1:4" ht="20.25" customHeight="1">
      <c r="A12" s="551" t="s">
        <v>84</v>
      </c>
      <c r="B12" s="552">
        <v>702163</v>
      </c>
      <c r="C12" s="552">
        <v>80084</v>
      </c>
      <c r="D12" s="552">
        <v>782247</v>
      </c>
    </row>
    <row r="13" spans="1:4" ht="20.25" customHeight="1">
      <c r="A13" s="551" t="s">
        <v>86</v>
      </c>
      <c r="B13" s="552">
        <v>352557</v>
      </c>
      <c r="C13" s="552">
        <v>39211</v>
      </c>
      <c r="D13" s="552">
        <v>391768</v>
      </c>
    </row>
    <row r="14" spans="1:4" ht="20.25" customHeight="1">
      <c r="A14" s="551" t="s">
        <v>108</v>
      </c>
      <c r="B14" s="552">
        <v>689</v>
      </c>
      <c r="C14" s="552">
        <v>5</v>
      </c>
      <c r="D14" s="552">
        <v>694</v>
      </c>
    </row>
    <row r="15" spans="1:4" ht="20.25" customHeight="1">
      <c r="A15" s="551" t="s">
        <v>357</v>
      </c>
      <c r="B15" s="552">
        <v>12540</v>
      </c>
      <c r="C15" s="552">
        <v>289</v>
      </c>
      <c r="D15" s="552">
        <v>12829</v>
      </c>
    </row>
    <row r="16" spans="1:4" ht="20.25" customHeight="1">
      <c r="A16" s="551" t="s">
        <v>87</v>
      </c>
      <c r="B16" s="552">
        <v>113911</v>
      </c>
      <c r="C16" s="552">
        <v>12614</v>
      </c>
      <c r="D16" s="552">
        <v>126525</v>
      </c>
    </row>
    <row r="17" spans="1:4" ht="20.25" customHeight="1">
      <c r="A17" s="551" t="s">
        <v>88</v>
      </c>
      <c r="B17" s="552">
        <v>148244</v>
      </c>
      <c r="C17" s="552">
        <v>30384</v>
      </c>
      <c r="D17" s="552">
        <v>178628</v>
      </c>
    </row>
    <row r="18" spans="1:4" ht="20.25" customHeight="1">
      <c r="A18" s="505" t="s">
        <v>358</v>
      </c>
      <c r="B18" s="553">
        <v>2455535</v>
      </c>
      <c r="C18" s="553">
        <v>282188</v>
      </c>
      <c r="D18" s="553">
        <v>2737723</v>
      </c>
    </row>
    <row r="19" spans="1:4" ht="20.25" customHeight="1">
      <c r="A19" s="551" t="s">
        <v>82</v>
      </c>
      <c r="B19" s="552">
        <v>1344608</v>
      </c>
      <c r="C19" s="552">
        <v>198446</v>
      </c>
      <c r="D19" s="552">
        <v>1543054</v>
      </c>
    </row>
    <row r="20" spans="1:4" ht="20.25" customHeight="1">
      <c r="A20" s="551" t="s">
        <v>85</v>
      </c>
      <c r="B20" s="552">
        <v>1431600</v>
      </c>
      <c r="C20" s="552">
        <v>152920</v>
      </c>
      <c r="D20" s="552">
        <v>1584520</v>
      </c>
    </row>
    <row r="21" spans="1:4" ht="20.25" customHeight="1">
      <c r="A21" s="505" t="s">
        <v>1</v>
      </c>
      <c r="B21" s="553">
        <v>5231743</v>
      </c>
      <c r="C21" s="553">
        <v>633554</v>
      </c>
      <c r="D21" s="553">
        <v>5865297</v>
      </c>
    </row>
    <row r="22" spans="1:4">
      <c r="A22" s="538" t="s">
        <v>388</v>
      </c>
    </row>
  </sheetData>
  <mergeCells count="3">
    <mergeCell ref="A4:D4"/>
    <mergeCell ref="A3:D3"/>
    <mergeCell ref="A2:D2"/>
  </mergeCells>
  <printOptions horizontalCentered="1"/>
  <pageMargins left="0" right="0" top="0" bottom="0" header="0" footer="0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3"/>
  <sheetViews>
    <sheetView showOutlineSymbols="0" view="pageBreakPreview" zoomScaleNormal="100" zoomScaleSheetLayoutView="100" workbookViewId="0">
      <selection activeCell="H38" sqref="H38"/>
    </sheetView>
  </sheetViews>
  <sheetFormatPr defaultColWidth="14.5" defaultRowHeight="17.25" customHeight="1"/>
  <cols>
    <col min="1" max="1" width="28.6640625" style="184" customWidth="1"/>
    <col min="2" max="9" width="11.1640625" style="184" hidden="1" customWidth="1"/>
    <col min="10" max="20" width="12.5" style="184" customWidth="1"/>
    <col min="21" max="16384" width="14.5" style="184"/>
  </cols>
  <sheetData>
    <row r="2" spans="1:20" ht="17.25" customHeight="1">
      <c r="A2" s="613" t="s">
        <v>164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</row>
    <row r="3" spans="1:20" ht="17.25" customHeight="1">
      <c r="A3" s="614" t="s">
        <v>274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1:20" ht="17.25" customHeight="1">
      <c r="A4" s="614" t="s">
        <v>14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</row>
    <row r="5" spans="1:20" ht="17.25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20" ht="17.25" customHeight="1">
      <c r="A6" s="211" t="s">
        <v>37</v>
      </c>
      <c r="B6" s="212">
        <v>2002</v>
      </c>
      <c r="C6" s="213">
        <v>2003</v>
      </c>
      <c r="D6" s="212">
        <v>2004</v>
      </c>
      <c r="E6" s="188">
        <v>2005</v>
      </c>
      <c r="F6" s="188">
        <v>2006</v>
      </c>
      <c r="G6" s="188">
        <v>2007</v>
      </c>
      <c r="H6" s="188">
        <v>2008</v>
      </c>
      <c r="I6" s="188">
        <v>2009</v>
      </c>
      <c r="J6" s="188">
        <v>2010</v>
      </c>
      <c r="K6" s="188">
        <v>2011</v>
      </c>
      <c r="L6" s="188">
        <v>2012</v>
      </c>
      <c r="M6" s="188">
        <v>2013</v>
      </c>
      <c r="N6" s="188">
        <v>2014</v>
      </c>
      <c r="O6" s="188">
        <v>2015</v>
      </c>
      <c r="P6" s="188">
        <v>2016</v>
      </c>
      <c r="Q6" s="188">
        <v>2017</v>
      </c>
      <c r="R6" s="188">
        <v>2018</v>
      </c>
      <c r="S6" s="188">
        <v>2019</v>
      </c>
      <c r="T6" s="188">
        <v>2020</v>
      </c>
    </row>
    <row r="7" spans="1:20" ht="17.25" customHeight="1">
      <c r="A7" s="214" t="s">
        <v>29</v>
      </c>
      <c r="B7" s="215">
        <v>9370</v>
      </c>
      <c r="C7" s="216">
        <v>10600</v>
      </c>
      <c r="D7" s="217">
        <v>12380</v>
      </c>
      <c r="E7" s="217">
        <v>14100</v>
      </c>
      <c r="F7" s="217">
        <v>16070</v>
      </c>
      <c r="G7" s="217">
        <v>17420</v>
      </c>
      <c r="H7" s="217">
        <v>19400</v>
      </c>
      <c r="I7" s="192">
        <v>21200</v>
      </c>
      <c r="J7" s="192">
        <v>22497</v>
      </c>
      <c r="K7" s="192">
        <v>24300</v>
      </c>
      <c r="L7" s="192">
        <v>26900</v>
      </c>
      <c r="M7" s="192">
        <v>28820</v>
      </c>
      <c r="N7" s="192">
        <v>31500</v>
      </c>
      <c r="O7" s="192">
        <v>33530</v>
      </c>
      <c r="P7" s="192">
        <v>33000</v>
      </c>
      <c r="Q7" s="192">
        <v>38200</v>
      </c>
      <c r="R7" s="192">
        <v>43000</v>
      </c>
      <c r="S7" s="192">
        <v>44300</v>
      </c>
      <c r="T7" s="192">
        <v>42200</v>
      </c>
    </row>
    <row r="8" spans="1:20" ht="17.25" customHeight="1">
      <c r="A8" s="214" t="s">
        <v>1</v>
      </c>
      <c r="B8" s="215">
        <v>11909</v>
      </c>
      <c r="C8" s="216">
        <v>13355</v>
      </c>
      <c r="D8" s="217">
        <v>13976</v>
      </c>
      <c r="E8" s="217">
        <v>14962</v>
      </c>
      <c r="F8" s="217">
        <v>15881</v>
      </c>
      <c r="G8" s="217">
        <v>15824</v>
      </c>
      <c r="H8" s="217">
        <v>17734</v>
      </c>
      <c r="I8" s="192">
        <v>17565</v>
      </c>
      <c r="J8" s="192">
        <v>16994</v>
      </c>
      <c r="K8" s="192">
        <v>18912.721000000001</v>
      </c>
      <c r="L8" s="192">
        <v>18785.03</v>
      </c>
      <c r="M8" s="192">
        <v>19216.458999999999</v>
      </c>
      <c r="N8" s="192">
        <v>19667</v>
      </c>
      <c r="O8" s="192">
        <v>19962</v>
      </c>
      <c r="P8" s="192">
        <v>17319</v>
      </c>
      <c r="Q8" s="192">
        <v>19919</v>
      </c>
      <c r="R8" s="192">
        <v>19516</v>
      </c>
      <c r="S8" s="192">
        <v>19858</v>
      </c>
      <c r="T8" s="192">
        <v>19141</v>
      </c>
    </row>
    <row r="9" spans="1:20" ht="17.25" customHeight="1">
      <c r="A9" s="214" t="s">
        <v>32</v>
      </c>
      <c r="B9" s="215">
        <v>600</v>
      </c>
      <c r="C9" s="216">
        <v>690</v>
      </c>
      <c r="D9" s="217">
        <v>735</v>
      </c>
      <c r="E9" s="217">
        <v>700</v>
      </c>
      <c r="F9" s="217">
        <v>860</v>
      </c>
      <c r="G9" s="217">
        <v>1050</v>
      </c>
      <c r="H9" s="217">
        <v>1300</v>
      </c>
      <c r="I9" s="192">
        <v>1310</v>
      </c>
      <c r="J9" s="192">
        <v>1360</v>
      </c>
      <c r="K9" s="192">
        <v>1650</v>
      </c>
      <c r="L9" s="192">
        <v>1892</v>
      </c>
      <c r="M9" s="192">
        <v>2134</v>
      </c>
      <c r="N9" s="192">
        <v>2000</v>
      </c>
      <c r="O9" s="192">
        <v>2068</v>
      </c>
      <c r="P9" s="192">
        <v>1804</v>
      </c>
      <c r="Q9" s="192">
        <v>2602</v>
      </c>
      <c r="R9" s="192">
        <v>2775</v>
      </c>
      <c r="S9" s="192">
        <v>3040</v>
      </c>
      <c r="T9" s="192">
        <v>2696</v>
      </c>
    </row>
    <row r="10" spans="1:20" ht="17.25" customHeight="1">
      <c r="A10" s="214" t="s">
        <v>28</v>
      </c>
      <c r="B10" s="215">
        <v>528</v>
      </c>
      <c r="C10" s="216">
        <v>527</v>
      </c>
      <c r="D10" s="217">
        <v>632</v>
      </c>
      <c r="E10" s="217">
        <v>673</v>
      </c>
      <c r="F10" s="217">
        <v>714</v>
      </c>
      <c r="G10" s="217">
        <v>733</v>
      </c>
      <c r="H10" s="217">
        <v>778</v>
      </c>
      <c r="I10" s="192">
        <v>802</v>
      </c>
      <c r="J10" s="192">
        <v>753</v>
      </c>
      <c r="K10" s="192">
        <v>941</v>
      </c>
      <c r="L10" s="192">
        <v>974</v>
      </c>
      <c r="M10" s="192">
        <v>1041</v>
      </c>
      <c r="N10" s="192">
        <v>1110</v>
      </c>
      <c r="O10" s="192">
        <v>1273</v>
      </c>
      <c r="P10" s="192">
        <v>1144</v>
      </c>
      <c r="Q10" s="192">
        <v>1628</v>
      </c>
      <c r="R10" s="192">
        <v>1630</v>
      </c>
      <c r="S10" s="192">
        <v>1527</v>
      </c>
      <c r="T10" s="192">
        <v>1559</v>
      </c>
    </row>
    <row r="11" spans="1:20" ht="17.25" customHeight="1">
      <c r="A11" s="214" t="s">
        <v>30</v>
      </c>
      <c r="B11" s="215">
        <v>775</v>
      </c>
      <c r="C11" s="216">
        <v>785</v>
      </c>
      <c r="D11" s="217">
        <v>790</v>
      </c>
      <c r="E11" s="217">
        <v>800</v>
      </c>
      <c r="F11" s="217">
        <v>815</v>
      </c>
      <c r="G11" s="217">
        <v>825</v>
      </c>
      <c r="H11" s="217">
        <v>840</v>
      </c>
      <c r="I11" s="192">
        <v>870</v>
      </c>
      <c r="J11" s="192">
        <v>780</v>
      </c>
      <c r="K11" s="192">
        <v>800</v>
      </c>
      <c r="L11" s="192">
        <v>840</v>
      </c>
      <c r="M11" s="192">
        <v>880</v>
      </c>
      <c r="N11" s="192">
        <v>910</v>
      </c>
      <c r="O11" s="192">
        <v>940</v>
      </c>
      <c r="P11" s="192">
        <v>960</v>
      </c>
      <c r="Q11" s="192">
        <v>1040</v>
      </c>
      <c r="R11" s="192">
        <v>1130</v>
      </c>
      <c r="S11" s="192">
        <v>1220</v>
      </c>
      <c r="T11" s="192">
        <v>1280</v>
      </c>
    </row>
    <row r="12" spans="1:20" ht="17.25" customHeight="1">
      <c r="A12" s="214" t="s">
        <v>193</v>
      </c>
      <c r="B12" s="215">
        <v>238</v>
      </c>
      <c r="C12" s="216">
        <v>262</v>
      </c>
      <c r="D12" s="217">
        <v>279</v>
      </c>
      <c r="E12" s="217">
        <v>319</v>
      </c>
      <c r="F12" s="217">
        <v>352</v>
      </c>
      <c r="G12" s="217">
        <v>396</v>
      </c>
      <c r="H12" s="217">
        <v>418</v>
      </c>
      <c r="I12" s="192">
        <v>429</v>
      </c>
      <c r="J12" s="192">
        <v>182</v>
      </c>
      <c r="K12" s="192">
        <v>248</v>
      </c>
      <c r="L12" s="192">
        <v>310</v>
      </c>
      <c r="M12" s="192">
        <v>410</v>
      </c>
      <c r="N12" s="192">
        <v>455</v>
      </c>
      <c r="O12" s="192">
        <v>522</v>
      </c>
      <c r="P12" s="192">
        <v>730</v>
      </c>
      <c r="Q12" s="192">
        <v>739</v>
      </c>
      <c r="R12" s="192">
        <v>875</v>
      </c>
      <c r="S12" s="192">
        <v>880</v>
      </c>
      <c r="T12" s="192">
        <v>805</v>
      </c>
    </row>
    <row r="13" spans="1:20" ht="17.25" customHeight="1">
      <c r="A13" s="214" t="s">
        <v>31</v>
      </c>
      <c r="B13" s="215">
        <v>316</v>
      </c>
      <c r="C13" s="216">
        <v>326</v>
      </c>
      <c r="D13" s="217">
        <v>345</v>
      </c>
      <c r="E13" s="217">
        <v>310</v>
      </c>
      <c r="F13" s="217">
        <v>365</v>
      </c>
      <c r="G13" s="217">
        <v>382</v>
      </c>
      <c r="H13" s="217">
        <v>465</v>
      </c>
      <c r="I13" s="192">
        <v>460</v>
      </c>
      <c r="J13" s="192">
        <v>488</v>
      </c>
      <c r="K13" s="192">
        <v>580</v>
      </c>
      <c r="L13" s="192">
        <v>485</v>
      </c>
      <c r="M13" s="192">
        <v>500</v>
      </c>
      <c r="N13" s="192">
        <v>545</v>
      </c>
      <c r="O13" s="192">
        <v>525</v>
      </c>
      <c r="P13" s="192">
        <v>565</v>
      </c>
      <c r="Q13" s="192">
        <v>645</v>
      </c>
      <c r="R13" s="192">
        <v>648</v>
      </c>
      <c r="S13" s="192">
        <v>578</v>
      </c>
      <c r="T13" s="192">
        <v>630</v>
      </c>
    </row>
    <row r="14" spans="1:20" ht="17.25" customHeight="1">
      <c r="A14" s="214" t="s">
        <v>191</v>
      </c>
      <c r="B14" s="215">
        <v>126</v>
      </c>
      <c r="C14" s="216">
        <v>158</v>
      </c>
      <c r="D14" s="217">
        <v>170</v>
      </c>
      <c r="E14" s="217">
        <v>237</v>
      </c>
      <c r="F14" s="217">
        <v>258</v>
      </c>
      <c r="G14" s="217">
        <v>265</v>
      </c>
      <c r="H14" s="217">
        <v>278</v>
      </c>
      <c r="I14" s="192">
        <v>280</v>
      </c>
      <c r="J14" s="192">
        <v>275</v>
      </c>
      <c r="K14" s="192">
        <v>320</v>
      </c>
      <c r="L14" s="192">
        <v>395</v>
      </c>
      <c r="M14" s="192">
        <v>425</v>
      </c>
      <c r="N14" s="192">
        <v>460</v>
      </c>
      <c r="O14" s="192">
        <v>480</v>
      </c>
      <c r="P14" s="192">
        <v>580</v>
      </c>
      <c r="Q14" s="192">
        <v>690</v>
      </c>
      <c r="R14" s="192">
        <v>653</v>
      </c>
      <c r="S14" s="192">
        <v>707</v>
      </c>
      <c r="T14" s="192">
        <v>700</v>
      </c>
    </row>
    <row r="15" spans="1:20" ht="17.25" customHeight="1">
      <c r="A15" s="218" t="s">
        <v>190</v>
      </c>
      <c r="B15" s="215">
        <v>86</v>
      </c>
      <c r="C15" s="216">
        <v>85</v>
      </c>
      <c r="D15" s="217">
        <v>87</v>
      </c>
      <c r="E15" s="217">
        <v>92</v>
      </c>
      <c r="F15" s="217">
        <v>125</v>
      </c>
      <c r="G15" s="217">
        <v>130</v>
      </c>
      <c r="H15" s="217">
        <v>185</v>
      </c>
      <c r="I15" s="192">
        <v>180</v>
      </c>
      <c r="J15" s="192">
        <v>380</v>
      </c>
      <c r="K15" s="192">
        <v>495</v>
      </c>
      <c r="L15" s="192">
        <v>543</v>
      </c>
      <c r="M15" s="192">
        <v>495</v>
      </c>
      <c r="N15" s="192">
        <v>490</v>
      </c>
      <c r="O15" s="192">
        <v>535</v>
      </c>
      <c r="P15" s="192">
        <v>587</v>
      </c>
      <c r="Q15" s="192">
        <v>570</v>
      </c>
      <c r="R15" s="192">
        <v>560</v>
      </c>
      <c r="S15" s="192">
        <v>425</v>
      </c>
      <c r="T15" s="192">
        <v>410</v>
      </c>
    </row>
    <row r="16" spans="1:20" ht="17.25" customHeight="1">
      <c r="A16" s="218" t="s">
        <v>26</v>
      </c>
      <c r="B16" s="215">
        <v>265</v>
      </c>
      <c r="C16" s="216">
        <v>240</v>
      </c>
      <c r="D16" s="217">
        <v>270</v>
      </c>
      <c r="E16" s="217">
        <v>290</v>
      </c>
      <c r="F16" s="217">
        <v>281</v>
      </c>
      <c r="G16" s="217">
        <v>289</v>
      </c>
      <c r="H16" s="217">
        <v>302</v>
      </c>
      <c r="I16" s="192">
        <v>358</v>
      </c>
      <c r="J16" s="192">
        <v>250</v>
      </c>
      <c r="K16" s="192">
        <v>270</v>
      </c>
      <c r="L16" s="192">
        <v>310</v>
      </c>
      <c r="M16" s="192">
        <v>340</v>
      </c>
      <c r="N16" s="192">
        <v>365</v>
      </c>
      <c r="O16" s="192">
        <v>400</v>
      </c>
      <c r="P16" s="192">
        <v>415</v>
      </c>
      <c r="Q16" s="192">
        <v>443</v>
      </c>
      <c r="R16" s="192">
        <v>450</v>
      </c>
      <c r="S16" s="192">
        <v>550</v>
      </c>
      <c r="T16" s="192">
        <v>590</v>
      </c>
    </row>
    <row r="17" spans="1:20" ht="17.25" customHeight="1">
      <c r="A17" s="218" t="s">
        <v>192</v>
      </c>
      <c r="B17" s="215">
        <v>118</v>
      </c>
      <c r="C17" s="216">
        <v>129</v>
      </c>
      <c r="D17" s="217">
        <v>142</v>
      </c>
      <c r="E17" s="217">
        <v>160</v>
      </c>
      <c r="F17" s="217">
        <v>170</v>
      </c>
      <c r="G17" s="217">
        <v>190</v>
      </c>
      <c r="H17" s="217">
        <v>210</v>
      </c>
      <c r="I17" s="192">
        <v>240</v>
      </c>
      <c r="J17" s="192">
        <v>360</v>
      </c>
      <c r="K17" s="192">
        <v>371</v>
      </c>
      <c r="L17" s="192">
        <v>418</v>
      </c>
      <c r="M17" s="192">
        <v>396</v>
      </c>
      <c r="N17" s="192">
        <v>400</v>
      </c>
      <c r="O17" s="192">
        <v>409</v>
      </c>
      <c r="P17" s="192">
        <v>424</v>
      </c>
      <c r="Q17" s="192">
        <v>445</v>
      </c>
      <c r="R17" s="192">
        <v>450</v>
      </c>
      <c r="S17" s="192">
        <v>510</v>
      </c>
      <c r="T17" s="192">
        <v>520</v>
      </c>
    </row>
    <row r="18" spans="1:20" ht="17.25" customHeight="1">
      <c r="A18" s="218" t="s">
        <v>237</v>
      </c>
      <c r="B18" s="215">
        <v>128</v>
      </c>
      <c r="C18" s="216">
        <v>155</v>
      </c>
      <c r="D18" s="217">
        <v>180</v>
      </c>
      <c r="E18" s="217">
        <v>181</v>
      </c>
      <c r="F18" s="217">
        <v>189</v>
      </c>
      <c r="G18" s="217">
        <v>200</v>
      </c>
      <c r="H18" s="217">
        <v>198</v>
      </c>
      <c r="I18" s="192">
        <v>206</v>
      </c>
      <c r="J18" s="192">
        <v>248</v>
      </c>
      <c r="K18" s="192">
        <v>254</v>
      </c>
      <c r="L18" s="192">
        <v>240</v>
      </c>
      <c r="M18" s="192">
        <v>249</v>
      </c>
      <c r="N18" s="192">
        <v>253</v>
      </c>
      <c r="O18" s="192">
        <v>260</v>
      </c>
      <c r="P18" s="192">
        <v>280</v>
      </c>
      <c r="Q18" s="192">
        <v>290</v>
      </c>
      <c r="R18" s="192">
        <v>300</v>
      </c>
      <c r="S18" s="192">
        <v>300</v>
      </c>
      <c r="T18" s="192">
        <v>315</v>
      </c>
    </row>
    <row r="19" spans="1:20" ht="17.25" customHeight="1">
      <c r="A19" s="218" t="s">
        <v>194</v>
      </c>
      <c r="B19" s="215">
        <v>144</v>
      </c>
      <c r="C19" s="216">
        <v>142</v>
      </c>
      <c r="D19" s="217">
        <v>146</v>
      </c>
      <c r="E19" s="217">
        <v>154</v>
      </c>
      <c r="F19" s="217">
        <v>160</v>
      </c>
      <c r="G19" s="217">
        <v>216</v>
      </c>
      <c r="H19" s="217">
        <v>226</v>
      </c>
      <c r="I19" s="192">
        <v>238</v>
      </c>
      <c r="J19" s="192">
        <v>227</v>
      </c>
      <c r="K19" s="192">
        <v>242</v>
      </c>
      <c r="L19" s="192">
        <v>260</v>
      </c>
      <c r="M19" s="192">
        <v>230</v>
      </c>
      <c r="N19" s="192">
        <v>210</v>
      </c>
      <c r="O19" s="192">
        <v>255</v>
      </c>
      <c r="P19" s="192">
        <v>205</v>
      </c>
      <c r="Q19" s="192">
        <v>235</v>
      </c>
      <c r="R19" s="192">
        <v>265</v>
      </c>
      <c r="S19" s="515">
        <v>270</v>
      </c>
      <c r="T19" s="515">
        <v>268.02919708029196</v>
      </c>
    </row>
    <row r="20" spans="1:20" ht="17.25" customHeight="1">
      <c r="A20" s="218" t="s">
        <v>58</v>
      </c>
      <c r="B20" s="215">
        <v>55</v>
      </c>
      <c r="C20" s="216">
        <v>41</v>
      </c>
      <c r="D20" s="217">
        <v>61</v>
      </c>
      <c r="E20" s="217">
        <v>63</v>
      </c>
      <c r="F20" s="217">
        <v>66</v>
      </c>
      <c r="G20" s="217">
        <v>70</v>
      </c>
      <c r="H20" s="217">
        <v>89.4</v>
      </c>
      <c r="I20" s="192">
        <v>84</v>
      </c>
      <c r="J20" s="192">
        <v>75</v>
      </c>
      <c r="K20" s="192">
        <v>60</v>
      </c>
      <c r="L20" s="192">
        <v>55</v>
      </c>
      <c r="M20" s="192">
        <v>50</v>
      </c>
      <c r="N20" s="192">
        <v>45</v>
      </c>
      <c r="O20" s="192">
        <v>43</v>
      </c>
      <c r="P20" s="192">
        <v>41</v>
      </c>
      <c r="Q20" s="192">
        <v>39.814457831325299</v>
      </c>
      <c r="R20" s="192">
        <v>39.518072289156628</v>
      </c>
      <c r="S20" s="515">
        <v>38</v>
      </c>
      <c r="T20" s="515">
        <v>36.815584415584411</v>
      </c>
    </row>
    <row r="21" spans="1:20" ht="17.25" customHeight="1">
      <c r="A21" s="214" t="s">
        <v>15</v>
      </c>
      <c r="B21" s="215">
        <f>B22-B7-B8-B9-B10-B11-B12-B13-B14-B15-B16-B17-B18-B19-B20</f>
        <v>751</v>
      </c>
      <c r="C21" s="215">
        <f t="shared" ref="C21:I21" si="0">C22-C7-C8-C9-C10-C11-C12-C13-C14-C15-C16-C17-C18-C19-C20</f>
        <v>764</v>
      </c>
      <c r="D21" s="215">
        <f t="shared" si="0"/>
        <v>985</v>
      </c>
      <c r="E21" s="215">
        <f t="shared" si="0"/>
        <v>911</v>
      </c>
      <c r="F21" s="215">
        <f t="shared" si="0"/>
        <v>953</v>
      </c>
      <c r="G21" s="215">
        <f t="shared" si="0"/>
        <v>841</v>
      </c>
      <c r="H21" s="215">
        <f t="shared" si="0"/>
        <v>1126.5999999999999</v>
      </c>
      <c r="I21" s="215">
        <f t="shared" si="0"/>
        <v>1299</v>
      </c>
      <c r="J21" s="215">
        <f>SUM(J22-J7-J8-J9-J10-J11-J12-J13-J14-J15-J16-J17-J18-J19-J20)</f>
        <v>1377</v>
      </c>
      <c r="K21" s="215">
        <f t="shared" ref="K21:T21" si="1">SUM(K22-K7-K8-K9-K10-K11-K12-K13-K14-K15-K16-K17-K18-K19-K20)</f>
        <v>1442.2789999999986</v>
      </c>
      <c r="L21" s="215">
        <f t="shared" si="1"/>
        <v>1556.9700000000012</v>
      </c>
      <c r="M21" s="215">
        <f t="shared" si="1"/>
        <v>1647.5410000000011</v>
      </c>
      <c r="N21" s="215">
        <f t="shared" si="1"/>
        <v>1758</v>
      </c>
      <c r="O21" s="215">
        <f t="shared" si="1"/>
        <v>1871.3000000000029</v>
      </c>
      <c r="P21" s="215">
        <f t="shared" si="1"/>
        <v>2002.5</v>
      </c>
      <c r="Q21" s="215">
        <f t="shared" si="1"/>
        <v>2152.3855421686717</v>
      </c>
      <c r="R21" s="215">
        <f t="shared" si="1"/>
        <v>2388.4819277108436</v>
      </c>
      <c r="S21" s="215">
        <f t="shared" si="1"/>
        <v>2471</v>
      </c>
      <c r="T21" s="215">
        <f t="shared" si="1"/>
        <v>2895.1552185041237</v>
      </c>
    </row>
    <row r="22" spans="1:20" ht="17.25" customHeight="1">
      <c r="A22" s="219" t="s">
        <v>151</v>
      </c>
      <c r="B22" s="201">
        <v>25409</v>
      </c>
      <c r="C22" s="220">
        <v>28259</v>
      </c>
      <c r="D22" s="201">
        <v>31178</v>
      </c>
      <c r="E22" s="201">
        <v>33952</v>
      </c>
      <c r="F22" s="201">
        <v>37259</v>
      </c>
      <c r="G22" s="201">
        <v>38831</v>
      </c>
      <c r="H22" s="201">
        <v>43550</v>
      </c>
      <c r="I22" s="201">
        <v>45521</v>
      </c>
      <c r="J22" s="201">
        <v>46246</v>
      </c>
      <c r="K22" s="201">
        <v>50886</v>
      </c>
      <c r="L22" s="201">
        <v>53964</v>
      </c>
      <c r="M22" s="201">
        <v>56834</v>
      </c>
      <c r="N22" s="201">
        <v>60168</v>
      </c>
      <c r="O22" s="201">
        <v>63073.3</v>
      </c>
      <c r="P22" s="201">
        <v>60056.5</v>
      </c>
      <c r="Q22" s="201">
        <v>69638.2</v>
      </c>
      <c r="R22" s="201">
        <v>74680</v>
      </c>
      <c r="S22" s="201">
        <v>76674</v>
      </c>
      <c r="T22" s="201">
        <v>74046</v>
      </c>
    </row>
    <row r="23" spans="1:20" ht="17.25" customHeight="1">
      <c r="A23" s="184" t="s">
        <v>312</v>
      </c>
      <c r="B23" s="207"/>
      <c r="C23" s="207"/>
      <c r="D23" s="207"/>
      <c r="E23" s="207"/>
      <c r="F23" s="207"/>
      <c r="G23" s="207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9"/>
  <sheetViews>
    <sheetView showOutlineSymbols="0" view="pageBreakPreview" zoomScaleNormal="100" zoomScaleSheetLayoutView="100" workbookViewId="0">
      <selection activeCell="H38" sqref="H38"/>
    </sheetView>
  </sheetViews>
  <sheetFormatPr defaultColWidth="14.5" defaultRowHeight="17.25" customHeight="1"/>
  <cols>
    <col min="1" max="1" width="28.6640625" style="184" customWidth="1"/>
    <col min="2" max="9" width="11.6640625" style="184" hidden="1" customWidth="1"/>
    <col min="10" max="20" width="12.5" style="184" customWidth="1"/>
    <col min="21" max="16384" width="14.5" style="184"/>
  </cols>
  <sheetData>
    <row r="2" spans="1:20" ht="17.25" customHeight="1">
      <c r="A2" s="614" t="s">
        <v>226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</row>
    <row r="3" spans="1:20" ht="17.25" customHeight="1">
      <c r="A3" s="614" t="s">
        <v>273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1:20" ht="17.25" customHeight="1">
      <c r="A4" s="614" t="s">
        <v>172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</row>
    <row r="5" spans="1:20" ht="17.25" customHeight="1">
      <c r="A5" s="489"/>
      <c r="B5" s="489"/>
      <c r="C5" s="489"/>
      <c r="D5" s="489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20" ht="17.25" customHeight="1">
      <c r="A6" s="221" t="s">
        <v>37</v>
      </c>
      <c r="B6" s="186">
        <v>2002</v>
      </c>
      <c r="C6" s="186">
        <v>2003</v>
      </c>
      <c r="D6" s="187">
        <v>2004</v>
      </c>
      <c r="E6" s="188">
        <v>2005</v>
      </c>
      <c r="F6" s="188">
        <v>2006</v>
      </c>
      <c r="G6" s="188">
        <v>2007</v>
      </c>
      <c r="H6" s="188">
        <v>2008</v>
      </c>
      <c r="I6" s="188">
        <v>2009</v>
      </c>
      <c r="J6" s="188">
        <v>2010</v>
      </c>
      <c r="K6" s="188">
        <v>2011</v>
      </c>
      <c r="L6" s="188">
        <v>2012</v>
      </c>
      <c r="M6" s="188">
        <v>2013</v>
      </c>
      <c r="N6" s="188">
        <v>2014</v>
      </c>
      <c r="O6" s="188">
        <v>2015</v>
      </c>
      <c r="P6" s="188">
        <v>2016</v>
      </c>
      <c r="Q6" s="188">
        <v>2017</v>
      </c>
      <c r="R6" s="188">
        <v>2018</v>
      </c>
      <c r="S6" s="188">
        <v>2019</v>
      </c>
      <c r="T6" s="188">
        <v>2020</v>
      </c>
    </row>
    <row r="7" spans="1:20" ht="17.25" customHeight="1">
      <c r="A7" s="214" t="s">
        <v>29</v>
      </c>
      <c r="B7" s="192">
        <v>6490</v>
      </c>
      <c r="C7" s="192">
        <v>7370</v>
      </c>
      <c r="D7" s="192">
        <v>8996</v>
      </c>
      <c r="E7" s="197">
        <v>10436</v>
      </c>
      <c r="F7" s="192">
        <v>12540</v>
      </c>
      <c r="G7" s="192">
        <v>12650</v>
      </c>
      <c r="H7" s="192">
        <v>14612</v>
      </c>
      <c r="I7" s="192">
        <v>16938</v>
      </c>
      <c r="J7" s="192">
        <v>16450</v>
      </c>
      <c r="K7" s="192">
        <v>17070</v>
      </c>
      <c r="L7" s="192">
        <v>19094</v>
      </c>
      <c r="M7" s="192">
        <v>21471</v>
      </c>
      <c r="N7" s="192">
        <v>22950</v>
      </c>
      <c r="O7" s="192">
        <v>26548.2</v>
      </c>
      <c r="P7" s="192">
        <v>23360</v>
      </c>
      <c r="Q7" s="192">
        <v>28609.9</v>
      </c>
      <c r="R7" s="192">
        <v>29340</v>
      </c>
      <c r="S7" s="192">
        <v>30118</v>
      </c>
      <c r="T7" s="192">
        <v>27263</v>
      </c>
    </row>
    <row r="8" spans="1:20" ht="17.25" customHeight="1">
      <c r="A8" s="214" t="s">
        <v>1</v>
      </c>
      <c r="B8" s="192">
        <v>10970.22004</v>
      </c>
      <c r="C8" s="192">
        <v>12606.27046</v>
      </c>
      <c r="D8" s="192">
        <v>12220.94735</v>
      </c>
      <c r="E8" s="197">
        <v>13096.253790000001</v>
      </c>
      <c r="F8" s="192">
        <v>14424.39595</v>
      </c>
      <c r="G8" s="192">
        <v>13677.54263</v>
      </c>
      <c r="H8" s="192">
        <v>15311.459228330001</v>
      </c>
      <c r="I8" s="192">
        <v>15901.80661</v>
      </c>
      <c r="J8" s="192">
        <v>16664</v>
      </c>
      <c r="K8" s="192">
        <v>17993.259999999998</v>
      </c>
      <c r="L8" s="192">
        <v>17575</v>
      </c>
      <c r="M8" s="192">
        <v>18146.823</v>
      </c>
      <c r="N8" s="192">
        <v>17306</v>
      </c>
      <c r="O8" s="192">
        <v>17454</v>
      </c>
      <c r="P8" s="192">
        <v>16046</v>
      </c>
      <c r="Q8" s="192">
        <v>16560</v>
      </c>
      <c r="R8" s="192">
        <v>16488</v>
      </c>
      <c r="S8" s="192">
        <v>18471</v>
      </c>
      <c r="T8" s="192">
        <v>17395</v>
      </c>
    </row>
    <row r="9" spans="1:20" ht="17.25" customHeight="1">
      <c r="A9" s="214" t="s">
        <v>193</v>
      </c>
      <c r="B9" s="192">
        <v>58</v>
      </c>
      <c r="C9" s="192">
        <v>58</v>
      </c>
      <c r="D9" s="192">
        <v>67</v>
      </c>
      <c r="E9" s="197">
        <v>64</v>
      </c>
      <c r="F9" s="192">
        <v>109</v>
      </c>
      <c r="G9" s="192">
        <v>110</v>
      </c>
      <c r="H9" s="192">
        <v>160</v>
      </c>
      <c r="I9" s="192">
        <v>148</v>
      </c>
      <c r="J9" s="192">
        <v>154</v>
      </c>
      <c r="K9" s="192">
        <v>217</v>
      </c>
      <c r="L9" s="192">
        <v>269</v>
      </c>
      <c r="M9" s="192">
        <v>295</v>
      </c>
      <c r="N9" s="192">
        <v>402</v>
      </c>
      <c r="O9" s="192">
        <v>470.9</v>
      </c>
      <c r="P9" s="192">
        <v>687.5</v>
      </c>
      <c r="Q9" s="192">
        <v>681.5</v>
      </c>
      <c r="R9" s="192">
        <v>815</v>
      </c>
      <c r="S9" s="192">
        <v>812</v>
      </c>
      <c r="T9" s="192">
        <v>746</v>
      </c>
    </row>
    <row r="10" spans="1:20" ht="17.25" customHeight="1">
      <c r="A10" s="218" t="s">
        <v>28</v>
      </c>
      <c r="B10" s="192">
        <v>324</v>
      </c>
      <c r="C10" s="192">
        <v>327</v>
      </c>
      <c r="D10" s="192">
        <v>339</v>
      </c>
      <c r="E10" s="197">
        <v>295</v>
      </c>
      <c r="F10" s="192">
        <v>362</v>
      </c>
      <c r="G10" s="192">
        <v>368</v>
      </c>
      <c r="H10" s="192">
        <v>446</v>
      </c>
      <c r="I10" s="192">
        <v>470</v>
      </c>
      <c r="J10" s="192">
        <v>90</v>
      </c>
      <c r="K10" s="192">
        <v>159</v>
      </c>
      <c r="L10" s="192">
        <v>180</v>
      </c>
      <c r="M10" s="192">
        <v>185</v>
      </c>
      <c r="N10" s="192">
        <v>246</v>
      </c>
      <c r="O10" s="192">
        <v>403.8</v>
      </c>
      <c r="P10" s="192">
        <v>373.3</v>
      </c>
      <c r="Q10" s="192">
        <v>730</v>
      </c>
      <c r="R10" s="192">
        <v>734</v>
      </c>
      <c r="S10" s="192">
        <v>694</v>
      </c>
      <c r="T10" s="192">
        <v>701</v>
      </c>
    </row>
    <row r="11" spans="1:20" ht="17.25" customHeight="1">
      <c r="A11" s="218" t="s">
        <v>31</v>
      </c>
      <c r="B11" s="192">
        <v>57</v>
      </c>
      <c r="C11" s="192">
        <v>110</v>
      </c>
      <c r="D11" s="192">
        <v>109</v>
      </c>
      <c r="E11" s="197">
        <v>120</v>
      </c>
      <c r="F11" s="192">
        <v>131</v>
      </c>
      <c r="G11" s="192">
        <v>153</v>
      </c>
      <c r="H11" s="192">
        <v>180</v>
      </c>
      <c r="I11" s="192">
        <v>169</v>
      </c>
      <c r="J11" s="192">
        <v>486</v>
      </c>
      <c r="K11" s="192">
        <v>572</v>
      </c>
      <c r="L11" s="192">
        <v>483</v>
      </c>
      <c r="M11" s="192">
        <v>487</v>
      </c>
      <c r="N11" s="192">
        <v>515</v>
      </c>
      <c r="O11" s="192">
        <v>486.9</v>
      </c>
      <c r="P11" s="192">
        <v>540.70000000000005</v>
      </c>
      <c r="Q11" s="192">
        <v>621.79999999999995</v>
      </c>
      <c r="R11" s="192">
        <v>614</v>
      </c>
      <c r="S11" s="192">
        <v>571</v>
      </c>
      <c r="T11" s="192">
        <v>594</v>
      </c>
    </row>
    <row r="12" spans="1:20" ht="17.25" customHeight="1">
      <c r="A12" s="214" t="s">
        <v>191</v>
      </c>
      <c r="B12" s="192">
        <v>85</v>
      </c>
      <c r="C12" s="192">
        <v>115</v>
      </c>
      <c r="D12" s="192">
        <v>214</v>
      </c>
      <c r="E12" s="197">
        <v>224</v>
      </c>
      <c r="F12" s="192">
        <v>214</v>
      </c>
      <c r="G12" s="192">
        <v>316</v>
      </c>
      <c r="H12" s="192">
        <v>310</v>
      </c>
      <c r="I12" s="192">
        <v>214</v>
      </c>
      <c r="J12" s="192">
        <v>155</v>
      </c>
      <c r="K12" s="192">
        <v>206</v>
      </c>
      <c r="L12" s="192">
        <v>269</v>
      </c>
      <c r="M12" s="192">
        <v>295</v>
      </c>
      <c r="N12" s="192">
        <v>330</v>
      </c>
      <c r="O12" s="192">
        <v>342.1</v>
      </c>
      <c r="P12" s="192">
        <v>435.6</v>
      </c>
      <c r="Q12" s="192">
        <v>540.4</v>
      </c>
      <c r="R12" s="192">
        <v>521</v>
      </c>
      <c r="S12" s="192">
        <v>572</v>
      </c>
      <c r="T12" s="192">
        <v>436</v>
      </c>
    </row>
    <row r="13" spans="1:20" ht="17.25" customHeight="1">
      <c r="A13" s="214" t="s">
        <v>192</v>
      </c>
      <c r="B13" s="192">
        <v>32</v>
      </c>
      <c r="C13" s="192">
        <v>44</v>
      </c>
      <c r="D13" s="192">
        <v>57</v>
      </c>
      <c r="E13" s="197">
        <v>102</v>
      </c>
      <c r="F13" s="192">
        <v>113</v>
      </c>
      <c r="G13" s="192">
        <v>172</v>
      </c>
      <c r="H13" s="192">
        <v>171</v>
      </c>
      <c r="I13" s="192">
        <v>482</v>
      </c>
      <c r="J13" s="192">
        <v>201</v>
      </c>
      <c r="K13" s="192">
        <v>254</v>
      </c>
      <c r="L13" s="192">
        <v>278</v>
      </c>
      <c r="M13" s="192">
        <v>200</v>
      </c>
      <c r="N13" s="192">
        <v>247</v>
      </c>
      <c r="O13" s="192">
        <v>229.1</v>
      </c>
      <c r="P13" s="192">
        <v>213</v>
      </c>
      <c r="Q13" s="192">
        <v>171.9</v>
      </c>
      <c r="R13" s="192">
        <v>226.6</v>
      </c>
      <c r="S13" s="192">
        <v>281.7</v>
      </c>
      <c r="T13" s="192">
        <v>228</v>
      </c>
    </row>
    <row r="14" spans="1:20" ht="17.25" customHeight="1">
      <c r="A14" s="214" t="s">
        <v>32</v>
      </c>
      <c r="B14" s="192">
        <v>65</v>
      </c>
      <c r="C14" s="192">
        <v>78</v>
      </c>
      <c r="D14" s="192">
        <v>109</v>
      </c>
      <c r="E14" s="197">
        <v>122</v>
      </c>
      <c r="F14" s="192">
        <v>109</v>
      </c>
      <c r="G14" s="192">
        <v>89</v>
      </c>
      <c r="H14" s="192">
        <v>96</v>
      </c>
      <c r="I14" s="192">
        <v>191</v>
      </c>
      <c r="J14" s="192">
        <v>133</v>
      </c>
      <c r="K14" s="192">
        <v>391</v>
      </c>
      <c r="L14" s="192">
        <v>304</v>
      </c>
      <c r="M14" s="192">
        <v>562</v>
      </c>
      <c r="N14" s="192">
        <v>238</v>
      </c>
      <c r="O14" s="192">
        <v>59.8</v>
      </c>
      <c r="P14" s="192">
        <v>40.700000000000003</v>
      </c>
      <c r="Q14" s="192">
        <v>315.7</v>
      </c>
      <c r="R14" s="192">
        <v>354</v>
      </c>
      <c r="S14" s="192">
        <v>275</v>
      </c>
      <c r="T14" s="192">
        <v>222</v>
      </c>
    </row>
    <row r="15" spans="1:20" ht="17.25" customHeight="1">
      <c r="A15" s="214" t="s">
        <v>194</v>
      </c>
      <c r="B15" s="192">
        <v>80</v>
      </c>
      <c r="C15" s="192">
        <v>106</v>
      </c>
      <c r="D15" s="192">
        <v>123</v>
      </c>
      <c r="E15" s="197">
        <v>133</v>
      </c>
      <c r="F15" s="192">
        <v>103</v>
      </c>
      <c r="G15" s="192">
        <v>110</v>
      </c>
      <c r="H15" s="192">
        <v>131</v>
      </c>
      <c r="I15" s="192">
        <v>135</v>
      </c>
      <c r="J15" s="192">
        <v>142</v>
      </c>
      <c r="K15" s="192">
        <v>173</v>
      </c>
      <c r="L15" s="192">
        <v>206</v>
      </c>
      <c r="M15" s="192">
        <v>165</v>
      </c>
      <c r="N15" s="192">
        <v>146</v>
      </c>
      <c r="O15" s="192">
        <v>159.4</v>
      </c>
      <c r="P15" s="192">
        <v>150.9</v>
      </c>
      <c r="Q15" s="192">
        <v>176.3</v>
      </c>
      <c r="R15" s="192">
        <v>212</v>
      </c>
      <c r="S15" s="192">
        <v>209.6</v>
      </c>
      <c r="T15" s="192">
        <v>199.17584369449381</v>
      </c>
    </row>
    <row r="16" spans="1:20" ht="17.25" customHeight="1">
      <c r="A16" s="214" t="s">
        <v>190</v>
      </c>
      <c r="B16" s="192">
        <v>100</v>
      </c>
      <c r="C16" s="192">
        <v>162</v>
      </c>
      <c r="D16" s="192">
        <v>166</v>
      </c>
      <c r="E16" s="197">
        <v>116</v>
      </c>
      <c r="F16" s="192">
        <v>232</v>
      </c>
      <c r="G16" s="192">
        <v>289</v>
      </c>
      <c r="H16" s="192">
        <v>373</v>
      </c>
      <c r="I16" s="192">
        <v>133</v>
      </c>
      <c r="J16" s="192">
        <v>146</v>
      </c>
      <c r="K16" s="192">
        <v>250</v>
      </c>
      <c r="L16" s="192">
        <v>276</v>
      </c>
      <c r="M16" s="192">
        <v>213</v>
      </c>
      <c r="N16" s="192">
        <v>227</v>
      </c>
      <c r="O16" s="192">
        <v>275.10000000000002</v>
      </c>
      <c r="P16" s="192">
        <v>312.8</v>
      </c>
      <c r="Q16" s="192">
        <v>284.8</v>
      </c>
      <c r="R16" s="192">
        <v>287</v>
      </c>
      <c r="S16" s="192">
        <v>187</v>
      </c>
      <c r="T16" s="192">
        <v>125.35164835164836</v>
      </c>
    </row>
    <row r="17" spans="1:20" ht="17.25" customHeight="1">
      <c r="A17" s="214" t="s">
        <v>15</v>
      </c>
      <c r="B17" s="192">
        <f>SUM(B18-B7-B8-B9-B10-B11-B12-B13-B14-B15-B16)</f>
        <v>1153.7799599999998</v>
      </c>
      <c r="C17" s="192">
        <f t="shared" ref="C17:I17" si="0">SUM(C18-C7-C8-C9-C10-C11-C12-C13-C14-C15-C16)</f>
        <v>934.72954000000027</v>
      </c>
      <c r="D17" s="192">
        <f t="shared" si="0"/>
        <v>1843.0526499999996</v>
      </c>
      <c r="E17" s="192">
        <f t="shared" si="0"/>
        <v>1802.7462099999993</v>
      </c>
      <c r="F17" s="192">
        <f t="shared" si="0"/>
        <v>1662.6040499999999</v>
      </c>
      <c r="G17" s="192">
        <f t="shared" si="0"/>
        <v>1889.4573700000001</v>
      </c>
      <c r="H17" s="192">
        <f t="shared" si="0"/>
        <v>1886.5407716699992</v>
      </c>
      <c r="I17" s="192">
        <f t="shared" si="0"/>
        <v>1358.1933900000004</v>
      </c>
      <c r="J17" s="192">
        <f>SUM(J18-J7-J8-J9-J10-J11-J12-J13-J14-J15-J16)</f>
        <v>1866</v>
      </c>
      <c r="K17" s="192">
        <f t="shared" ref="K17:T17" si="1">SUM(K18-K7-K8-K9-K10-K11-K12-K13-K14-K15-K16)</f>
        <v>1860.7400000000016</v>
      </c>
      <c r="L17" s="192">
        <f t="shared" si="1"/>
        <v>1713</v>
      </c>
      <c r="M17" s="192">
        <f t="shared" si="1"/>
        <v>1796.1769999999997</v>
      </c>
      <c r="N17" s="192">
        <f t="shared" si="1"/>
        <v>1841</v>
      </c>
      <c r="O17" s="192">
        <f t="shared" si="1"/>
        <v>2331.3999999999965</v>
      </c>
      <c r="P17" s="192">
        <f t="shared" si="1"/>
        <v>2232.4000000000015</v>
      </c>
      <c r="Q17" s="192">
        <f t="shared" si="1"/>
        <v>2406.199999999998</v>
      </c>
      <c r="R17" s="192">
        <f t="shared" si="1"/>
        <v>2614.4</v>
      </c>
      <c r="S17" s="192">
        <f t="shared" si="1"/>
        <v>2775.7000000000003</v>
      </c>
      <c r="T17" s="192">
        <f t="shared" si="1"/>
        <v>2850.472507953858</v>
      </c>
    </row>
    <row r="18" spans="1:20" ht="17.25" customHeight="1">
      <c r="A18" s="222" t="s">
        <v>151</v>
      </c>
      <c r="B18" s="201">
        <v>19415</v>
      </c>
      <c r="C18" s="201">
        <v>21911</v>
      </c>
      <c r="D18" s="201">
        <v>24244</v>
      </c>
      <c r="E18" s="220">
        <v>26511</v>
      </c>
      <c r="F18" s="201">
        <v>30000</v>
      </c>
      <c r="G18" s="201">
        <v>29824</v>
      </c>
      <c r="H18" s="201">
        <v>33677</v>
      </c>
      <c r="I18" s="201">
        <v>36140</v>
      </c>
      <c r="J18" s="201">
        <v>36487</v>
      </c>
      <c r="K18" s="201">
        <v>39146</v>
      </c>
      <c r="L18" s="201">
        <v>40647</v>
      </c>
      <c r="M18" s="201">
        <v>43816</v>
      </c>
      <c r="N18" s="201">
        <v>44448</v>
      </c>
      <c r="O18" s="201">
        <v>48760.7</v>
      </c>
      <c r="P18" s="201">
        <v>44392.9</v>
      </c>
      <c r="Q18" s="201">
        <v>51098.5</v>
      </c>
      <c r="R18" s="201">
        <v>52206</v>
      </c>
      <c r="S18" s="201">
        <v>54967</v>
      </c>
      <c r="T18" s="201">
        <v>50760</v>
      </c>
    </row>
    <row r="19" spans="1:20" ht="17.25" customHeight="1">
      <c r="A19" s="184" t="s">
        <v>312</v>
      </c>
      <c r="B19" s="207"/>
      <c r="C19" s="207"/>
      <c r="D19" s="207"/>
      <c r="E19" s="207"/>
      <c r="F19" s="207"/>
      <c r="G19" s="207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1"/>
  <sheetViews>
    <sheetView showOutlineSymbols="0" view="pageBreakPreview" zoomScaleNormal="100" zoomScaleSheetLayoutView="100" workbookViewId="0">
      <selection activeCell="H38" sqref="H38"/>
    </sheetView>
  </sheetViews>
  <sheetFormatPr defaultColWidth="14.5" defaultRowHeight="17.25" customHeight="1"/>
  <cols>
    <col min="1" max="1" width="28.6640625" style="184" customWidth="1"/>
    <col min="2" max="9" width="11" style="184" hidden="1" customWidth="1"/>
    <col min="10" max="20" width="12.5" style="184" customWidth="1"/>
    <col min="21" max="16384" width="14.5" style="184"/>
  </cols>
  <sheetData>
    <row r="2" spans="1:20" ht="17.25" customHeight="1">
      <c r="A2" s="613" t="s">
        <v>227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</row>
    <row r="3" spans="1:20" ht="17.25" customHeight="1">
      <c r="A3" s="614" t="s">
        <v>272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1:20" ht="17.25" customHeight="1">
      <c r="A4" s="613" t="s">
        <v>14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</row>
    <row r="5" spans="1:20" ht="17.25" customHeight="1">
      <c r="A5" s="488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</row>
    <row r="6" spans="1:20" ht="17.25" customHeight="1">
      <c r="A6" s="221" t="s">
        <v>37</v>
      </c>
      <c r="B6" s="187">
        <v>2002</v>
      </c>
      <c r="C6" s="186">
        <v>2003</v>
      </c>
      <c r="D6" s="187">
        <v>2004</v>
      </c>
      <c r="E6" s="188">
        <v>2005</v>
      </c>
      <c r="F6" s="188">
        <v>2006</v>
      </c>
      <c r="G6" s="188">
        <v>2007</v>
      </c>
      <c r="H6" s="188">
        <v>2008</v>
      </c>
      <c r="I6" s="188">
        <v>2009</v>
      </c>
      <c r="J6" s="188">
        <v>2010</v>
      </c>
      <c r="K6" s="188">
        <v>2011</v>
      </c>
      <c r="L6" s="188">
        <v>2012</v>
      </c>
      <c r="M6" s="188">
        <v>2013</v>
      </c>
      <c r="N6" s="188">
        <v>2014</v>
      </c>
      <c r="O6" s="188">
        <v>2015</v>
      </c>
      <c r="P6" s="188">
        <v>2016</v>
      </c>
      <c r="Q6" s="188">
        <v>2017</v>
      </c>
      <c r="R6" s="188">
        <v>2018</v>
      </c>
      <c r="S6" s="188">
        <v>2019</v>
      </c>
      <c r="T6" s="188">
        <v>2020</v>
      </c>
    </row>
    <row r="7" spans="1:20" ht="17.25" customHeight="1">
      <c r="A7" s="214" t="s">
        <v>47</v>
      </c>
      <c r="B7" s="192">
        <v>3476</v>
      </c>
      <c r="C7" s="192">
        <v>3629</v>
      </c>
      <c r="D7" s="223">
        <v>4018</v>
      </c>
      <c r="E7" s="224">
        <v>4473</v>
      </c>
      <c r="F7" s="192">
        <v>4593</v>
      </c>
      <c r="G7" s="192">
        <v>4647</v>
      </c>
      <c r="H7" s="192">
        <v>5289</v>
      </c>
      <c r="I7" s="192">
        <v>5854</v>
      </c>
      <c r="J7" s="192">
        <v>5945</v>
      </c>
      <c r="K7" s="192">
        <v>5338</v>
      </c>
      <c r="L7" s="192">
        <v>6155</v>
      </c>
      <c r="M7" s="192">
        <v>7222</v>
      </c>
      <c r="N7" s="192">
        <v>7302</v>
      </c>
      <c r="O7" s="192">
        <v>7265.1</v>
      </c>
      <c r="P7" s="192">
        <v>7490.1</v>
      </c>
      <c r="Q7" s="192">
        <v>8289.5</v>
      </c>
      <c r="R7" s="192">
        <v>8246</v>
      </c>
      <c r="S7" s="192">
        <v>8284</v>
      </c>
      <c r="T7" s="192">
        <v>8195</v>
      </c>
    </row>
    <row r="8" spans="1:20" ht="17.25" customHeight="1">
      <c r="A8" s="218" t="s">
        <v>18</v>
      </c>
      <c r="B8" s="192">
        <v>3461</v>
      </c>
      <c r="C8" s="192">
        <v>3979</v>
      </c>
      <c r="D8" s="223">
        <v>3453</v>
      </c>
      <c r="E8" s="224">
        <v>3315</v>
      </c>
      <c r="F8" s="192">
        <v>3198</v>
      </c>
      <c r="G8" s="192">
        <v>3687</v>
      </c>
      <c r="H8" s="192">
        <v>5753</v>
      </c>
      <c r="I8" s="192">
        <v>6828</v>
      </c>
      <c r="J8" s="192">
        <v>6649</v>
      </c>
      <c r="K8" s="192">
        <v>6745</v>
      </c>
      <c r="L8" s="192">
        <v>7817</v>
      </c>
      <c r="M8" s="192">
        <v>8472</v>
      </c>
      <c r="N8" s="192">
        <v>7931</v>
      </c>
      <c r="O8" s="192">
        <v>9665</v>
      </c>
      <c r="P8" s="192">
        <v>8374</v>
      </c>
      <c r="Q8" s="192">
        <v>9352.5</v>
      </c>
      <c r="R8" s="192">
        <v>9097</v>
      </c>
      <c r="S8" s="192">
        <v>10037</v>
      </c>
      <c r="T8" s="192">
        <v>7514</v>
      </c>
    </row>
    <row r="9" spans="1:20" ht="17.25" customHeight="1">
      <c r="A9" s="214" t="s">
        <v>246</v>
      </c>
      <c r="B9" s="192">
        <v>2660</v>
      </c>
      <c r="C9" s="192">
        <v>3353</v>
      </c>
      <c r="D9" s="223">
        <v>3851</v>
      </c>
      <c r="E9" s="224">
        <v>4320</v>
      </c>
      <c r="F9" s="192">
        <v>5462</v>
      </c>
      <c r="G9" s="192">
        <v>5499</v>
      </c>
      <c r="H9" s="192">
        <v>5593</v>
      </c>
      <c r="I9" s="192">
        <v>6557</v>
      </c>
      <c r="J9" s="192">
        <v>5823</v>
      </c>
      <c r="K9" s="192">
        <v>6221</v>
      </c>
      <c r="L9" s="192">
        <v>6591</v>
      </c>
      <c r="M9" s="192">
        <v>6190</v>
      </c>
      <c r="N9" s="192">
        <v>5634</v>
      </c>
      <c r="O9" s="192">
        <v>6030</v>
      </c>
      <c r="P9" s="192">
        <v>4593.5</v>
      </c>
      <c r="Q9" s="192">
        <v>5196.3999999999996</v>
      </c>
      <c r="R9" s="192">
        <v>5428</v>
      </c>
      <c r="S9" s="192">
        <v>7659</v>
      </c>
      <c r="T9" s="192">
        <v>6567</v>
      </c>
    </row>
    <row r="10" spans="1:20" ht="17.25" customHeight="1">
      <c r="A10" s="214" t="s">
        <v>21</v>
      </c>
      <c r="B10" s="192">
        <v>1300</v>
      </c>
      <c r="C10" s="192">
        <v>1487</v>
      </c>
      <c r="D10" s="223">
        <v>1432</v>
      </c>
      <c r="E10" s="224">
        <v>1646</v>
      </c>
      <c r="F10" s="192">
        <v>1768</v>
      </c>
      <c r="G10" s="192">
        <v>1731</v>
      </c>
      <c r="H10" s="192">
        <v>1847</v>
      </c>
      <c r="I10" s="192">
        <v>1925</v>
      </c>
      <c r="J10" s="192">
        <v>2100</v>
      </c>
      <c r="K10" s="192">
        <v>2014</v>
      </c>
      <c r="L10" s="192">
        <v>2036</v>
      </c>
      <c r="M10" s="192">
        <v>2413</v>
      </c>
      <c r="N10" s="192">
        <v>2454</v>
      </c>
      <c r="O10" s="192">
        <v>2784</v>
      </c>
      <c r="P10" s="192">
        <v>2651.2</v>
      </c>
      <c r="Q10" s="192">
        <v>2937.1</v>
      </c>
      <c r="R10" s="192">
        <v>2981</v>
      </c>
      <c r="S10" s="192">
        <v>3165</v>
      </c>
      <c r="T10" s="192">
        <v>3084</v>
      </c>
    </row>
    <row r="11" spans="1:20" ht="17.25" customHeight="1">
      <c r="A11" s="214" t="s">
        <v>264</v>
      </c>
      <c r="B11" s="192">
        <v>215</v>
      </c>
      <c r="C11" s="192">
        <v>200</v>
      </c>
      <c r="D11" s="223">
        <v>271</v>
      </c>
      <c r="E11" s="224">
        <v>420</v>
      </c>
      <c r="F11" s="192">
        <v>625</v>
      </c>
      <c r="G11" s="192">
        <v>788</v>
      </c>
      <c r="H11" s="192">
        <v>997</v>
      </c>
      <c r="I11" s="192">
        <v>979</v>
      </c>
      <c r="J11" s="192">
        <v>948</v>
      </c>
      <c r="K11" s="192">
        <v>1088</v>
      </c>
      <c r="L11" s="192">
        <v>991</v>
      </c>
      <c r="M11" s="192">
        <v>1373</v>
      </c>
      <c r="N11" s="192">
        <v>1188</v>
      </c>
      <c r="O11" s="192">
        <v>1232.2</v>
      </c>
      <c r="P11" s="192">
        <v>1291.5</v>
      </c>
      <c r="Q11" s="192">
        <v>1399.4</v>
      </c>
      <c r="R11" s="192">
        <v>1549</v>
      </c>
      <c r="S11" s="192">
        <v>1577</v>
      </c>
      <c r="T11" s="192">
        <v>1432</v>
      </c>
    </row>
    <row r="12" spans="1:20" ht="17.25" customHeight="1">
      <c r="A12" s="214" t="s">
        <v>16</v>
      </c>
      <c r="B12" s="192">
        <v>436</v>
      </c>
      <c r="C12" s="192">
        <v>498</v>
      </c>
      <c r="D12" s="223">
        <v>644</v>
      </c>
      <c r="E12" s="224">
        <v>931</v>
      </c>
      <c r="F12" s="192">
        <v>887</v>
      </c>
      <c r="G12" s="192">
        <v>708</v>
      </c>
      <c r="H12" s="192">
        <v>901</v>
      </c>
      <c r="I12" s="192">
        <v>867</v>
      </c>
      <c r="J12" s="192">
        <v>1065</v>
      </c>
      <c r="K12" s="192">
        <v>946</v>
      </c>
      <c r="L12" s="192">
        <v>1013</v>
      </c>
      <c r="M12" s="192">
        <v>1250</v>
      </c>
      <c r="N12" s="192">
        <v>1246</v>
      </c>
      <c r="O12" s="192">
        <v>1453.2</v>
      </c>
      <c r="P12" s="192">
        <v>1374.1</v>
      </c>
      <c r="Q12" s="192">
        <v>1535.3</v>
      </c>
      <c r="R12" s="192">
        <v>1716</v>
      </c>
      <c r="S12" s="192">
        <v>1520</v>
      </c>
      <c r="T12" s="192">
        <v>1315</v>
      </c>
    </row>
    <row r="13" spans="1:20" ht="17.25" customHeight="1">
      <c r="A13" s="218" t="s">
        <v>30</v>
      </c>
      <c r="B13" s="192">
        <v>165</v>
      </c>
      <c r="C13" s="192">
        <v>190</v>
      </c>
      <c r="D13" s="223">
        <v>180</v>
      </c>
      <c r="E13" s="224">
        <v>210</v>
      </c>
      <c r="F13" s="192">
        <v>260</v>
      </c>
      <c r="G13" s="192">
        <v>216</v>
      </c>
      <c r="H13" s="192">
        <v>700</v>
      </c>
      <c r="I13" s="192">
        <v>720</v>
      </c>
      <c r="J13" s="192">
        <v>799</v>
      </c>
      <c r="K13" s="192">
        <v>1128</v>
      </c>
      <c r="L13" s="192">
        <v>942</v>
      </c>
      <c r="M13" s="192">
        <v>1292</v>
      </c>
      <c r="N13" s="192">
        <v>1655</v>
      </c>
      <c r="O13" s="192">
        <v>1576.9</v>
      </c>
      <c r="P13" s="192">
        <v>1302.3</v>
      </c>
      <c r="Q13" s="192">
        <v>1498.7</v>
      </c>
      <c r="R13" s="192">
        <v>1355</v>
      </c>
      <c r="S13" s="192">
        <v>1350</v>
      </c>
      <c r="T13" s="192">
        <v>1216</v>
      </c>
    </row>
    <row r="14" spans="1:20" ht="17.25" customHeight="1">
      <c r="A14" s="218" t="s">
        <v>43</v>
      </c>
      <c r="B14" s="192">
        <v>319</v>
      </c>
      <c r="C14" s="192">
        <v>389</v>
      </c>
      <c r="D14" s="223">
        <v>436</v>
      </c>
      <c r="E14" s="224">
        <v>600</v>
      </c>
      <c r="F14" s="192">
        <v>543</v>
      </c>
      <c r="G14" s="192">
        <v>576</v>
      </c>
      <c r="H14" s="192">
        <v>692</v>
      </c>
      <c r="I14" s="192">
        <v>525</v>
      </c>
      <c r="J14" s="192">
        <v>205</v>
      </c>
      <c r="K14" s="192">
        <v>543</v>
      </c>
      <c r="L14" s="192">
        <v>371</v>
      </c>
      <c r="M14" s="192">
        <v>234</v>
      </c>
      <c r="N14" s="192">
        <v>690</v>
      </c>
      <c r="O14" s="192">
        <v>782.1</v>
      </c>
      <c r="P14" s="192">
        <v>931.3</v>
      </c>
      <c r="Q14" s="192">
        <v>1175</v>
      </c>
      <c r="R14" s="192">
        <v>1162</v>
      </c>
      <c r="S14" s="192">
        <v>1040</v>
      </c>
      <c r="T14" s="192">
        <v>1083</v>
      </c>
    </row>
    <row r="15" spans="1:20" ht="17.25" customHeight="1">
      <c r="A15" s="214" t="s">
        <v>214</v>
      </c>
      <c r="B15" s="192">
        <v>43</v>
      </c>
      <c r="C15" s="192">
        <v>34</v>
      </c>
      <c r="D15" s="223">
        <v>98</v>
      </c>
      <c r="E15" s="224">
        <v>208</v>
      </c>
      <c r="F15" s="192">
        <v>198</v>
      </c>
      <c r="G15" s="192">
        <v>185</v>
      </c>
      <c r="H15" s="192">
        <v>185</v>
      </c>
      <c r="I15" s="192">
        <v>158</v>
      </c>
      <c r="J15" s="192">
        <v>634</v>
      </c>
      <c r="K15" s="192">
        <v>671</v>
      </c>
      <c r="L15" s="192">
        <v>694</v>
      </c>
      <c r="M15" s="192">
        <v>783</v>
      </c>
      <c r="N15" s="192">
        <v>748</v>
      </c>
      <c r="O15" s="192">
        <v>937.4</v>
      </c>
      <c r="P15" s="192">
        <v>920.4</v>
      </c>
      <c r="Q15" s="192">
        <v>938</v>
      </c>
      <c r="R15" s="192">
        <v>1098</v>
      </c>
      <c r="S15" s="192">
        <v>1106</v>
      </c>
      <c r="T15" s="192">
        <v>1064</v>
      </c>
    </row>
    <row r="16" spans="1:20" ht="17.25" customHeight="1">
      <c r="A16" s="214" t="s">
        <v>24</v>
      </c>
      <c r="B16" s="192">
        <v>611</v>
      </c>
      <c r="C16" s="192">
        <v>678</v>
      </c>
      <c r="D16" s="223">
        <v>702</v>
      </c>
      <c r="E16" s="224">
        <v>774</v>
      </c>
      <c r="F16" s="192">
        <v>611</v>
      </c>
      <c r="G16" s="192">
        <v>590</v>
      </c>
      <c r="H16" s="192">
        <v>630</v>
      </c>
      <c r="I16" s="192">
        <v>710</v>
      </c>
      <c r="J16" s="192">
        <v>533</v>
      </c>
      <c r="K16" s="192">
        <v>596</v>
      </c>
      <c r="L16" s="192">
        <v>603</v>
      </c>
      <c r="M16" s="192">
        <v>583</v>
      </c>
      <c r="N16" s="192">
        <v>679</v>
      </c>
      <c r="O16" s="192">
        <v>715.7</v>
      </c>
      <c r="P16" s="192">
        <v>741.5</v>
      </c>
      <c r="Q16" s="192">
        <v>835</v>
      </c>
      <c r="R16" s="192">
        <v>871</v>
      </c>
      <c r="S16" s="192">
        <v>947</v>
      </c>
      <c r="T16" s="192">
        <v>1038</v>
      </c>
    </row>
    <row r="17" spans="1:20" ht="17.25" customHeight="1">
      <c r="A17" s="218" t="s">
        <v>17</v>
      </c>
      <c r="B17" s="192">
        <v>153</v>
      </c>
      <c r="C17" s="192">
        <v>227</v>
      </c>
      <c r="D17" s="223">
        <v>268</v>
      </c>
      <c r="E17" s="224">
        <v>300</v>
      </c>
      <c r="F17" s="192">
        <v>342</v>
      </c>
      <c r="G17" s="192">
        <v>358</v>
      </c>
      <c r="H17" s="192">
        <v>354</v>
      </c>
      <c r="I17" s="192">
        <v>329</v>
      </c>
      <c r="J17" s="192">
        <v>800</v>
      </c>
      <c r="K17" s="192">
        <v>720</v>
      </c>
      <c r="L17" s="192">
        <v>691</v>
      </c>
      <c r="M17" s="192">
        <v>773</v>
      </c>
      <c r="N17" s="192">
        <v>881</v>
      </c>
      <c r="O17" s="192">
        <v>838.2</v>
      </c>
      <c r="P17" s="192">
        <v>790.1</v>
      </c>
      <c r="Q17" s="192">
        <v>952.7</v>
      </c>
      <c r="R17" s="192">
        <v>999</v>
      </c>
      <c r="S17" s="192">
        <v>987</v>
      </c>
      <c r="T17" s="192">
        <v>967</v>
      </c>
    </row>
    <row r="18" spans="1:20" ht="17.25" customHeight="1">
      <c r="A18" s="214" t="s">
        <v>1</v>
      </c>
      <c r="B18" s="192">
        <v>260</v>
      </c>
      <c r="C18" s="192">
        <v>352</v>
      </c>
      <c r="D18" s="223">
        <v>347</v>
      </c>
      <c r="E18" s="224">
        <v>457</v>
      </c>
      <c r="F18" s="192">
        <v>527</v>
      </c>
      <c r="G18" s="192">
        <v>366</v>
      </c>
      <c r="H18" s="192">
        <v>440</v>
      </c>
      <c r="I18" s="192">
        <v>387</v>
      </c>
      <c r="J18" s="192">
        <v>1112</v>
      </c>
      <c r="K18" s="192">
        <v>1305.68</v>
      </c>
      <c r="L18" s="192">
        <v>1391.01</v>
      </c>
      <c r="M18" s="192">
        <v>556</v>
      </c>
      <c r="N18" s="192">
        <v>486</v>
      </c>
      <c r="O18" s="192">
        <v>1028</v>
      </c>
      <c r="P18" s="192">
        <v>415</v>
      </c>
      <c r="Q18" s="192">
        <v>556</v>
      </c>
      <c r="R18" s="192">
        <v>841.45</v>
      </c>
      <c r="S18" s="192">
        <v>977</v>
      </c>
      <c r="T18" s="192">
        <v>947</v>
      </c>
    </row>
    <row r="19" spans="1:20" ht="17.25" customHeight="1">
      <c r="A19" s="214" t="s">
        <v>55</v>
      </c>
      <c r="B19" s="192">
        <v>341</v>
      </c>
      <c r="C19" s="192">
        <v>290</v>
      </c>
      <c r="D19" s="223">
        <v>289</v>
      </c>
      <c r="E19" s="224">
        <v>362</v>
      </c>
      <c r="F19" s="192">
        <v>438</v>
      </c>
      <c r="G19" s="192">
        <v>416</v>
      </c>
      <c r="H19" s="192">
        <v>436</v>
      </c>
      <c r="I19" s="192">
        <v>487</v>
      </c>
      <c r="J19" s="192">
        <v>537</v>
      </c>
      <c r="K19" s="192">
        <v>475</v>
      </c>
      <c r="L19" s="192">
        <v>480</v>
      </c>
      <c r="M19" s="192">
        <v>594</v>
      </c>
      <c r="N19" s="192">
        <v>575</v>
      </c>
      <c r="O19" s="192">
        <v>632.9</v>
      </c>
      <c r="P19" s="192">
        <v>694.9</v>
      </c>
      <c r="Q19" s="192">
        <v>767.4</v>
      </c>
      <c r="R19" s="192">
        <v>764</v>
      </c>
      <c r="S19" s="192">
        <v>915</v>
      </c>
      <c r="T19" s="192">
        <v>943</v>
      </c>
    </row>
    <row r="20" spans="1:20" ht="17.25" customHeight="1">
      <c r="A20" s="218" t="s">
        <v>49</v>
      </c>
      <c r="B20" s="192">
        <v>138</v>
      </c>
      <c r="C20" s="192">
        <v>151</v>
      </c>
      <c r="D20" s="223">
        <v>209</v>
      </c>
      <c r="E20" s="224">
        <v>203</v>
      </c>
      <c r="F20" s="192">
        <v>381</v>
      </c>
      <c r="G20" s="192">
        <v>456</v>
      </c>
      <c r="H20" s="192">
        <v>630</v>
      </c>
      <c r="I20" s="192">
        <v>502</v>
      </c>
      <c r="J20" s="192">
        <v>374</v>
      </c>
      <c r="K20" s="192">
        <v>395</v>
      </c>
      <c r="L20" s="192">
        <v>509</v>
      </c>
      <c r="M20" s="192">
        <v>605</v>
      </c>
      <c r="N20" s="192">
        <v>664</v>
      </c>
      <c r="O20" s="192">
        <v>781.7</v>
      </c>
      <c r="P20" s="192">
        <v>786.1</v>
      </c>
      <c r="Q20" s="192">
        <v>828.1</v>
      </c>
      <c r="R20" s="192">
        <v>880</v>
      </c>
      <c r="S20" s="192">
        <v>920.6</v>
      </c>
      <c r="T20" s="192">
        <v>927.04049183803261</v>
      </c>
    </row>
    <row r="21" spans="1:20" ht="17.25" customHeight="1">
      <c r="A21" s="218" t="s">
        <v>20</v>
      </c>
      <c r="B21" s="192">
        <v>415</v>
      </c>
      <c r="C21" s="192">
        <v>428</v>
      </c>
      <c r="D21" s="223">
        <v>466</v>
      </c>
      <c r="E21" s="224">
        <v>479</v>
      </c>
      <c r="F21" s="192">
        <v>499</v>
      </c>
      <c r="G21" s="192">
        <v>532</v>
      </c>
      <c r="H21" s="192">
        <v>546</v>
      </c>
      <c r="I21" s="192">
        <v>551</v>
      </c>
      <c r="J21" s="192">
        <v>569</v>
      </c>
      <c r="K21" s="192">
        <v>588</v>
      </c>
      <c r="L21" s="192">
        <v>577</v>
      </c>
      <c r="M21" s="192">
        <v>591</v>
      </c>
      <c r="N21" s="192">
        <v>599</v>
      </c>
      <c r="O21" s="192">
        <v>619.9</v>
      </c>
      <c r="P21" s="192">
        <v>647.5</v>
      </c>
      <c r="Q21" s="192">
        <v>707.7</v>
      </c>
      <c r="R21" s="192">
        <v>754</v>
      </c>
      <c r="S21" s="192">
        <v>779</v>
      </c>
      <c r="T21" s="192">
        <v>761</v>
      </c>
    </row>
    <row r="22" spans="1:20" ht="17.25" customHeight="1">
      <c r="A22" s="218" t="s">
        <v>314</v>
      </c>
      <c r="B22" s="192">
        <v>215</v>
      </c>
      <c r="C22" s="192">
        <v>213</v>
      </c>
      <c r="D22" s="223">
        <v>217</v>
      </c>
      <c r="E22" s="224">
        <v>235</v>
      </c>
      <c r="F22" s="192">
        <v>224</v>
      </c>
      <c r="G22" s="192">
        <v>188</v>
      </c>
      <c r="H22" s="192">
        <v>200</v>
      </c>
      <c r="I22" s="192">
        <v>253</v>
      </c>
      <c r="J22" s="192">
        <v>475</v>
      </c>
      <c r="K22" s="192">
        <v>681</v>
      </c>
      <c r="L22" s="192">
        <v>844</v>
      </c>
      <c r="M22" s="192">
        <v>619</v>
      </c>
      <c r="N22" s="192">
        <v>589</v>
      </c>
      <c r="O22" s="192">
        <v>610</v>
      </c>
      <c r="P22" s="192">
        <v>568.5</v>
      </c>
      <c r="Q22" s="192">
        <v>773</v>
      </c>
      <c r="R22" s="192">
        <v>758</v>
      </c>
      <c r="S22" s="192">
        <v>851</v>
      </c>
      <c r="T22" s="192">
        <v>645</v>
      </c>
    </row>
    <row r="23" spans="1:20" ht="17.25" customHeight="1">
      <c r="A23" s="218" t="s">
        <v>23</v>
      </c>
      <c r="B23" s="192">
        <v>329</v>
      </c>
      <c r="C23" s="192">
        <v>362</v>
      </c>
      <c r="D23" s="223">
        <v>346</v>
      </c>
      <c r="E23" s="224">
        <v>333</v>
      </c>
      <c r="F23" s="192">
        <v>352</v>
      </c>
      <c r="G23" s="192">
        <v>371</v>
      </c>
      <c r="H23" s="192">
        <v>396</v>
      </c>
      <c r="I23" s="192">
        <v>401</v>
      </c>
      <c r="J23" s="192">
        <v>410</v>
      </c>
      <c r="K23" s="192">
        <v>429</v>
      </c>
      <c r="L23" s="192">
        <v>437</v>
      </c>
      <c r="M23" s="192">
        <v>592</v>
      </c>
      <c r="N23" s="192">
        <v>596</v>
      </c>
      <c r="O23" s="192">
        <v>616.79999999999995</v>
      </c>
      <c r="P23" s="192">
        <v>601.79999999999995</v>
      </c>
      <c r="Q23" s="192">
        <v>617</v>
      </c>
      <c r="R23" s="192">
        <v>629</v>
      </c>
      <c r="S23" s="192">
        <v>637</v>
      </c>
      <c r="T23" s="192">
        <v>610</v>
      </c>
    </row>
    <row r="24" spans="1:20" ht="17.25" customHeight="1">
      <c r="A24" s="218" t="s">
        <v>159</v>
      </c>
      <c r="B24" s="192">
        <v>97</v>
      </c>
      <c r="C24" s="192">
        <v>125</v>
      </c>
      <c r="D24" s="223">
        <v>172</v>
      </c>
      <c r="E24" s="224">
        <v>219</v>
      </c>
      <c r="F24" s="192">
        <v>287</v>
      </c>
      <c r="G24" s="192">
        <v>280</v>
      </c>
      <c r="H24" s="192">
        <v>325</v>
      </c>
      <c r="I24" s="192">
        <v>300</v>
      </c>
      <c r="J24" s="192">
        <v>281</v>
      </c>
      <c r="K24" s="192">
        <v>291</v>
      </c>
      <c r="L24" s="192">
        <v>325</v>
      </c>
      <c r="M24" s="192">
        <v>334</v>
      </c>
      <c r="N24" s="192">
        <v>439</v>
      </c>
      <c r="O24" s="192">
        <v>448.6</v>
      </c>
      <c r="P24" s="192">
        <v>472.3</v>
      </c>
      <c r="Q24" s="192">
        <v>506.9</v>
      </c>
      <c r="R24" s="192">
        <v>603</v>
      </c>
      <c r="S24" s="192">
        <v>646</v>
      </c>
      <c r="T24" s="192">
        <v>589</v>
      </c>
    </row>
    <row r="25" spans="1:20" ht="17.25" customHeight="1">
      <c r="A25" s="218" t="s">
        <v>56</v>
      </c>
      <c r="B25" s="192">
        <v>237</v>
      </c>
      <c r="C25" s="192">
        <v>242</v>
      </c>
      <c r="D25" s="223">
        <v>266</v>
      </c>
      <c r="E25" s="224">
        <v>273</v>
      </c>
      <c r="F25" s="192">
        <v>292</v>
      </c>
      <c r="G25" s="192">
        <v>298</v>
      </c>
      <c r="H25" s="192">
        <v>315</v>
      </c>
      <c r="I25" s="192">
        <v>331</v>
      </c>
      <c r="J25" s="192">
        <v>281</v>
      </c>
      <c r="K25" s="192">
        <v>393</v>
      </c>
      <c r="L25" s="192">
        <v>423</v>
      </c>
      <c r="M25" s="192">
        <v>430</v>
      </c>
      <c r="N25" s="192">
        <v>516</v>
      </c>
      <c r="O25" s="192">
        <v>501.9</v>
      </c>
      <c r="P25" s="192">
        <v>521.6</v>
      </c>
      <c r="Q25" s="192">
        <v>484.3</v>
      </c>
      <c r="R25" s="192">
        <v>535</v>
      </c>
      <c r="S25" s="192">
        <v>586.1</v>
      </c>
      <c r="T25" s="192">
        <v>575.30663655316187</v>
      </c>
    </row>
    <row r="26" spans="1:20" ht="17.25" customHeight="1">
      <c r="A26" s="214" t="s">
        <v>42</v>
      </c>
      <c r="B26" s="192">
        <v>235</v>
      </c>
      <c r="C26" s="192">
        <v>286</v>
      </c>
      <c r="D26" s="223">
        <v>329</v>
      </c>
      <c r="E26" s="224">
        <v>451</v>
      </c>
      <c r="F26" s="192">
        <v>367</v>
      </c>
      <c r="G26" s="192">
        <v>440</v>
      </c>
      <c r="H26" s="192">
        <v>665</v>
      </c>
      <c r="I26" s="192">
        <v>561</v>
      </c>
      <c r="J26" s="192">
        <v>372</v>
      </c>
      <c r="K26" s="192">
        <v>394</v>
      </c>
      <c r="L26" s="192">
        <v>461</v>
      </c>
      <c r="M26" s="192">
        <v>461</v>
      </c>
      <c r="N26" s="192">
        <v>449</v>
      </c>
      <c r="O26" s="192">
        <v>481.8</v>
      </c>
      <c r="P26" s="192">
        <v>520.29999999999995</v>
      </c>
      <c r="Q26" s="192">
        <v>526.5</v>
      </c>
      <c r="R26" s="192">
        <v>481</v>
      </c>
      <c r="S26" s="192">
        <v>543</v>
      </c>
      <c r="T26" s="192">
        <v>498</v>
      </c>
    </row>
    <row r="27" spans="1:20" ht="17.25" customHeight="1">
      <c r="A27" s="218" t="s">
        <v>19</v>
      </c>
      <c r="B27" s="192">
        <v>182</v>
      </c>
      <c r="C27" s="192">
        <v>198</v>
      </c>
      <c r="D27" s="223">
        <v>279</v>
      </c>
      <c r="E27" s="224">
        <v>280</v>
      </c>
      <c r="F27" s="192">
        <v>338</v>
      </c>
      <c r="G27" s="192">
        <v>305</v>
      </c>
      <c r="H27" s="192">
        <v>327</v>
      </c>
      <c r="I27" s="192">
        <v>360</v>
      </c>
      <c r="J27" s="192">
        <v>615</v>
      </c>
      <c r="K27" s="192">
        <v>719</v>
      </c>
      <c r="L27" s="192">
        <v>740</v>
      </c>
      <c r="M27" s="192">
        <v>997</v>
      </c>
      <c r="N27" s="192">
        <v>755</v>
      </c>
      <c r="O27" s="192">
        <v>465.3</v>
      </c>
      <c r="P27" s="192">
        <v>465.3</v>
      </c>
      <c r="Q27" s="192">
        <v>570.5</v>
      </c>
      <c r="R27" s="192">
        <v>505</v>
      </c>
      <c r="S27" s="192">
        <v>566</v>
      </c>
      <c r="T27" s="192">
        <v>359</v>
      </c>
    </row>
    <row r="28" spans="1:20" ht="17.25" customHeight="1">
      <c r="A28" s="218" t="s">
        <v>15</v>
      </c>
      <c r="B28" s="192">
        <f t="shared" ref="B28:I28" si="0">B29-B7-B8-B9-B10-B11-B12-B13-B14-B15-B16-B17-B18-B19-B20-B21-B22-B23-B24-B25-B27-B26</f>
        <v>3965</v>
      </c>
      <c r="C28" s="192">
        <f t="shared" si="0"/>
        <v>4579</v>
      </c>
      <c r="D28" s="192">
        <f t="shared" si="0"/>
        <v>5784</v>
      </c>
      <c r="E28" s="192">
        <f t="shared" si="0"/>
        <v>6233</v>
      </c>
      <c r="F28" s="192">
        <f t="shared" si="0"/>
        <v>7031</v>
      </c>
      <c r="G28" s="192">
        <f t="shared" si="0"/>
        <v>6784</v>
      </c>
      <c r="H28" s="192">
        <f t="shared" si="0"/>
        <v>6610</v>
      </c>
      <c r="I28" s="192">
        <f t="shared" si="0"/>
        <v>6550</v>
      </c>
      <c r="J28" s="192">
        <f>SUM(J29-J7-J8-J9-J10-J11-J12-J13-J14-J15-J16-J17-J18-J19-J20-J21-J22-J23-J24-J25-J26-J27)</f>
        <v>6554</v>
      </c>
      <c r="K28" s="192">
        <f t="shared" ref="K28:T28" si="1">SUM(K29-K7-K8-K9-K10-K11-K12-K13-K14-K15-K16-K17-K18-K19-K20-K21-K22-K23-K24-K25-K26-K27)</f>
        <v>6634.32</v>
      </c>
      <c r="L28" s="192">
        <f t="shared" si="1"/>
        <v>6936.99</v>
      </c>
      <c r="M28" s="192">
        <f t="shared" si="1"/>
        <v>7597</v>
      </c>
      <c r="N28" s="192">
        <f t="shared" si="1"/>
        <v>8251</v>
      </c>
      <c r="O28" s="192">
        <f t="shared" si="1"/>
        <v>8581.100000000004</v>
      </c>
      <c r="P28" s="192">
        <f t="shared" si="1"/>
        <v>8675.2000000000062</v>
      </c>
      <c r="Q28" s="192">
        <f t="shared" si="1"/>
        <v>9852.0999999999967</v>
      </c>
      <c r="R28" s="192">
        <f t="shared" si="1"/>
        <v>10178.549999999999</v>
      </c>
      <c r="S28" s="192">
        <f t="shared" si="1"/>
        <v>10366.299999999999</v>
      </c>
      <c r="T28" s="192">
        <f t="shared" si="1"/>
        <v>9921.6528716088069</v>
      </c>
    </row>
    <row r="29" spans="1:20" ht="17.25" customHeight="1">
      <c r="A29" s="222" t="s">
        <v>151</v>
      </c>
      <c r="B29" s="201">
        <v>19253</v>
      </c>
      <c r="C29" s="201">
        <v>21890</v>
      </c>
      <c r="D29" s="225">
        <v>24057</v>
      </c>
      <c r="E29" s="220">
        <v>26722</v>
      </c>
      <c r="F29" s="201">
        <v>29223</v>
      </c>
      <c r="G29" s="201">
        <v>29421</v>
      </c>
      <c r="H29" s="201">
        <v>33831</v>
      </c>
      <c r="I29" s="201">
        <v>36135</v>
      </c>
      <c r="J29" s="201">
        <v>37081</v>
      </c>
      <c r="K29" s="201">
        <v>38315</v>
      </c>
      <c r="L29" s="201">
        <v>41028</v>
      </c>
      <c r="M29" s="201">
        <v>43961</v>
      </c>
      <c r="N29" s="201">
        <v>44327</v>
      </c>
      <c r="O29" s="201">
        <v>48047.8</v>
      </c>
      <c r="P29" s="201">
        <v>44828.5</v>
      </c>
      <c r="Q29" s="201">
        <v>50299.1</v>
      </c>
      <c r="R29" s="201">
        <v>51431</v>
      </c>
      <c r="S29" s="201">
        <v>55459</v>
      </c>
      <c r="T29" s="201">
        <v>50251</v>
      </c>
    </row>
    <row r="30" spans="1:20" ht="17.25" customHeight="1">
      <c r="A30" s="184" t="s">
        <v>327</v>
      </c>
      <c r="B30" s="456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6"/>
      <c r="S30" s="456"/>
      <c r="T30" s="456"/>
    </row>
    <row r="31" spans="1:20" ht="17.25" customHeight="1">
      <c r="A31" s="184" t="s">
        <v>312</v>
      </c>
      <c r="B31" s="207"/>
      <c r="C31" s="207"/>
      <c r="D31" s="207"/>
      <c r="E31" s="207"/>
      <c r="F31" s="207"/>
      <c r="G31" s="207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6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28.6640625" style="226" customWidth="1"/>
    <col min="2" max="9" width="11.1640625" style="226" hidden="1" customWidth="1"/>
    <col min="10" max="20" width="12.5" style="226" customWidth="1"/>
    <col min="21" max="16384" width="9.1640625" style="226"/>
  </cols>
  <sheetData>
    <row r="2" spans="1:20" ht="17.25" customHeight="1">
      <c r="A2" s="617" t="s">
        <v>228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0" ht="17.25" customHeight="1">
      <c r="A3" s="616" t="s">
        <v>271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</row>
    <row r="4" spans="1:20" ht="17.25" customHeight="1">
      <c r="A4" s="615" t="s">
        <v>172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</row>
    <row r="6" spans="1:20" ht="17.25" customHeight="1">
      <c r="A6" s="227" t="s">
        <v>37</v>
      </c>
      <c r="B6" s="228">
        <v>2002</v>
      </c>
      <c r="C6" s="276">
        <v>2003</v>
      </c>
      <c r="D6" s="228">
        <v>2004</v>
      </c>
      <c r="E6" s="229">
        <v>2005</v>
      </c>
      <c r="F6" s="229">
        <v>2006</v>
      </c>
      <c r="G6" s="229">
        <v>2007</v>
      </c>
      <c r="H6" s="229">
        <v>2008</v>
      </c>
      <c r="I6" s="229">
        <v>2009</v>
      </c>
      <c r="J6" s="229">
        <v>2010</v>
      </c>
      <c r="K6" s="229">
        <v>2011</v>
      </c>
      <c r="L6" s="229">
        <v>2012</v>
      </c>
      <c r="M6" s="229">
        <v>2013</v>
      </c>
      <c r="N6" s="229">
        <v>2014</v>
      </c>
      <c r="O6" s="229">
        <v>2015</v>
      </c>
      <c r="P6" s="229">
        <v>2016</v>
      </c>
      <c r="Q6" s="229">
        <v>2017</v>
      </c>
      <c r="R6" s="229">
        <v>2018</v>
      </c>
      <c r="S6" s="229">
        <v>2019</v>
      </c>
      <c r="T6" s="188">
        <v>2020</v>
      </c>
    </row>
    <row r="7" spans="1:20" ht="17.25" customHeight="1">
      <c r="A7" s="230" t="s">
        <v>29</v>
      </c>
      <c r="B7" s="231">
        <v>3549</v>
      </c>
      <c r="C7" s="231">
        <v>4151</v>
      </c>
      <c r="D7" s="231">
        <v>3396</v>
      </c>
      <c r="E7" s="231">
        <v>3309</v>
      </c>
      <c r="F7" s="231">
        <v>3075</v>
      </c>
      <c r="G7" s="231">
        <v>3839</v>
      </c>
      <c r="H7" s="231">
        <v>5378</v>
      </c>
      <c r="I7" s="231">
        <v>6789</v>
      </c>
      <c r="J7" s="231">
        <v>5455</v>
      </c>
      <c r="K7" s="231">
        <v>6349</v>
      </c>
      <c r="L7" s="231">
        <v>7128</v>
      </c>
      <c r="M7" s="231">
        <v>8033</v>
      </c>
      <c r="N7" s="231">
        <v>8573</v>
      </c>
      <c r="O7" s="231">
        <v>7087.1</v>
      </c>
      <c r="P7" s="231">
        <v>9409</v>
      </c>
      <c r="Q7" s="231">
        <v>9524.2000000000007</v>
      </c>
      <c r="R7" s="231">
        <v>12238</v>
      </c>
      <c r="S7" s="231">
        <v>14852</v>
      </c>
      <c r="T7" s="231">
        <v>15176</v>
      </c>
    </row>
    <row r="8" spans="1:20" ht="17.25" customHeight="1">
      <c r="A8" s="230" t="s">
        <v>18</v>
      </c>
      <c r="B8" s="231">
        <v>3027</v>
      </c>
      <c r="C8" s="231">
        <v>4115</v>
      </c>
      <c r="D8" s="231">
        <v>3347</v>
      </c>
      <c r="E8" s="231">
        <v>3546</v>
      </c>
      <c r="F8" s="231">
        <v>3711</v>
      </c>
      <c r="G8" s="231">
        <v>4065</v>
      </c>
      <c r="H8" s="231">
        <v>4462</v>
      </c>
      <c r="I8" s="231">
        <v>4830</v>
      </c>
      <c r="J8" s="231">
        <v>6714</v>
      </c>
      <c r="K8" s="231">
        <v>6826</v>
      </c>
      <c r="L8" s="231">
        <v>7612</v>
      </c>
      <c r="M8" s="231">
        <v>8458</v>
      </c>
      <c r="N8" s="231">
        <v>7925</v>
      </c>
      <c r="O8" s="231">
        <v>9423.6</v>
      </c>
      <c r="P8" s="231">
        <v>9331.2000000000007</v>
      </c>
      <c r="Q8" s="231">
        <v>9328.4</v>
      </c>
      <c r="R8" s="231">
        <v>9351</v>
      </c>
      <c r="S8" s="231">
        <v>10276</v>
      </c>
      <c r="T8" s="231">
        <v>8055</v>
      </c>
    </row>
    <row r="9" spans="1:20" ht="17.25" customHeight="1">
      <c r="A9" s="230" t="s">
        <v>47</v>
      </c>
      <c r="B9" s="231">
        <v>3395</v>
      </c>
      <c r="C9" s="231">
        <v>3570</v>
      </c>
      <c r="D9" s="231">
        <v>3892</v>
      </c>
      <c r="E9" s="231">
        <v>4368</v>
      </c>
      <c r="F9" s="231">
        <v>4419</v>
      </c>
      <c r="G9" s="231">
        <v>4476</v>
      </c>
      <c r="H9" s="231">
        <v>5059</v>
      </c>
      <c r="I9" s="231">
        <v>5661</v>
      </c>
      <c r="J9" s="231">
        <v>5754</v>
      </c>
      <c r="K9" s="231">
        <v>5231</v>
      </c>
      <c r="L9" s="231">
        <v>5959</v>
      </c>
      <c r="M9" s="231">
        <v>7037</v>
      </c>
      <c r="N9" s="231">
        <v>7084</v>
      </c>
      <c r="O9" s="231">
        <v>7150.8</v>
      </c>
      <c r="P9" s="231">
        <v>7420.8</v>
      </c>
      <c r="Q9" s="231">
        <v>8028.2</v>
      </c>
      <c r="R9" s="231">
        <v>8180</v>
      </c>
      <c r="S9" s="231">
        <v>8015</v>
      </c>
      <c r="T9" s="231">
        <v>8120</v>
      </c>
    </row>
    <row r="10" spans="1:20" ht="17.25" customHeight="1">
      <c r="A10" s="230" t="s">
        <v>246</v>
      </c>
      <c r="B10" s="231">
        <v>2650</v>
      </c>
      <c r="C10" s="231">
        <v>5548</v>
      </c>
      <c r="D10" s="231">
        <v>3681</v>
      </c>
      <c r="E10" s="231">
        <v>4340</v>
      </c>
      <c r="F10" s="231">
        <v>5450</v>
      </c>
      <c r="G10" s="231">
        <v>5488</v>
      </c>
      <c r="H10" s="231">
        <v>5662</v>
      </c>
      <c r="I10" s="231">
        <v>6227</v>
      </c>
      <c r="J10" s="231">
        <v>5831</v>
      </c>
      <c r="K10" s="231">
        <v>6070</v>
      </c>
      <c r="L10" s="231">
        <v>6160</v>
      </c>
      <c r="M10" s="231">
        <v>6288</v>
      </c>
      <c r="N10" s="231">
        <v>6055</v>
      </c>
      <c r="O10" s="231">
        <v>5736.4</v>
      </c>
      <c r="P10" s="231">
        <v>5134.3</v>
      </c>
      <c r="Q10" s="231">
        <v>5107.8999999999996</v>
      </c>
      <c r="R10" s="231">
        <v>5416</v>
      </c>
      <c r="S10" s="231">
        <v>7111</v>
      </c>
      <c r="T10" s="231">
        <v>6808</v>
      </c>
    </row>
    <row r="11" spans="1:20" ht="17.25" customHeight="1">
      <c r="A11" s="230" t="s">
        <v>1</v>
      </c>
      <c r="B11" s="231">
        <v>1501</v>
      </c>
      <c r="C11" s="231">
        <v>1568</v>
      </c>
      <c r="D11" s="231">
        <v>1782</v>
      </c>
      <c r="E11" s="231">
        <v>1965</v>
      </c>
      <c r="F11" s="231">
        <v>2157</v>
      </c>
      <c r="G11" s="231">
        <v>2168</v>
      </c>
      <c r="H11" s="231">
        <v>2571</v>
      </c>
      <c r="I11" s="231">
        <v>2364</v>
      </c>
      <c r="J11" s="231">
        <v>2065</v>
      </c>
      <c r="K11" s="231">
        <v>1986</v>
      </c>
      <c r="L11" s="231">
        <v>2267</v>
      </c>
      <c r="M11" s="231">
        <v>2353</v>
      </c>
      <c r="N11" s="231">
        <v>2818</v>
      </c>
      <c r="O11" s="231">
        <v>2917</v>
      </c>
      <c r="P11" s="231">
        <v>2656</v>
      </c>
      <c r="Q11" s="231">
        <v>2859</v>
      </c>
      <c r="R11" s="231">
        <v>3387</v>
      </c>
      <c r="S11" s="231">
        <v>3570</v>
      </c>
      <c r="T11" s="231">
        <v>3437</v>
      </c>
    </row>
    <row r="12" spans="1:20" ht="17.25" customHeight="1">
      <c r="A12" s="230" t="s">
        <v>21</v>
      </c>
      <c r="B12" s="231">
        <v>1350</v>
      </c>
      <c r="C12" s="231">
        <v>1349</v>
      </c>
      <c r="D12" s="231">
        <v>1342</v>
      </c>
      <c r="E12" s="231">
        <v>1546</v>
      </c>
      <c r="F12" s="231">
        <v>1599</v>
      </c>
      <c r="G12" s="231">
        <v>1643</v>
      </c>
      <c r="H12" s="231">
        <v>1866</v>
      </c>
      <c r="I12" s="231">
        <v>1873</v>
      </c>
      <c r="J12" s="231">
        <v>1985</v>
      </c>
      <c r="K12" s="231">
        <v>1982</v>
      </c>
      <c r="L12" s="231">
        <v>2063</v>
      </c>
      <c r="M12" s="231">
        <v>2361</v>
      </c>
      <c r="N12" s="231">
        <v>2309</v>
      </c>
      <c r="O12" s="231">
        <v>2574</v>
      </c>
      <c r="P12" s="231">
        <v>2616.6</v>
      </c>
      <c r="Q12" s="231">
        <v>2764.6</v>
      </c>
      <c r="R12" s="231">
        <v>2889</v>
      </c>
      <c r="S12" s="231">
        <v>3082</v>
      </c>
      <c r="T12" s="231">
        <v>3123</v>
      </c>
    </row>
    <row r="13" spans="1:20" ht="17.25" customHeight="1">
      <c r="A13" s="230" t="s">
        <v>30</v>
      </c>
      <c r="B13" s="231">
        <v>970</v>
      </c>
      <c r="C13" s="231">
        <v>984</v>
      </c>
      <c r="D13" s="231">
        <v>1070</v>
      </c>
      <c r="E13" s="231">
        <v>1107</v>
      </c>
      <c r="F13" s="231">
        <v>1220</v>
      </c>
      <c r="G13" s="231">
        <v>1360</v>
      </c>
      <c r="H13" s="231">
        <v>1495</v>
      </c>
      <c r="I13" s="231">
        <v>1570</v>
      </c>
      <c r="J13" s="231">
        <v>1639</v>
      </c>
      <c r="K13" s="231">
        <v>1733</v>
      </c>
      <c r="L13" s="231">
        <v>1869</v>
      </c>
      <c r="M13" s="231">
        <v>2154</v>
      </c>
      <c r="N13" s="231">
        <v>2286</v>
      </c>
      <c r="O13" s="231">
        <v>2516.9</v>
      </c>
      <c r="P13" s="231">
        <v>2480.3000000000002</v>
      </c>
      <c r="Q13" s="231">
        <v>2490.1</v>
      </c>
      <c r="R13" s="231">
        <v>2480</v>
      </c>
      <c r="S13" s="231">
        <v>2593</v>
      </c>
      <c r="T13" s="231">
        <v>2512</v>
      </c>
    </row>
    <row r="14" spans="1:20" ht="17.25" customHeight="1">
      <c r="A14" s="230" t="s">
        <v>32</v>
      </c>
      <c r="B14" s="231">
        <v>503</v>
      </c>
      <c r="C14" s="231">
        <v>548</v>
      </c>
      <c r="D14" s="231">
        <v>636</v>
      </c>
      <c r="E14" s="231">
        <v>654</v>
      </c>
      <c r="F14" s="231">
        <v>695</v>
      </c>
      <c r="G14" s="231">
        <v>740</v>
      </c>
      <c r="H14" s="231">
        <v>1000</v>
      </c>
      <c r="I14" s="231">
        <v>1175</v>
      </c>
      <c r="J14" s="231">
        <v>1242</v>
      </c>
      <c r="K14" s="231">
        <v>1374</v>
      </c>
      <c r="L14" s="231">
        <v>1643</v>
      </c>
      <c r="M14" s="231">
        <v>1746</v>
      </c>
      <c r="N14" s="231">
        <v>1830</v>
      </c>
      <c r="O14" s="231">
        <v>1947.5</v>
      </c>
      <c r="P14" s="231">
        <v>1953.3</v>
      </c>
      <c r="Q14" s="231">
        <v>2108.1999999999998</v>
      </c>
      <c r="R14" s="231">
        <v>2443</v>
      </c>
      <c r="S14" s="231">
        <v>2843</v>
      </c>
      <c r="T14" s="231">
        <v>2587</v>
      </c>
    </row>
    <row r="15" spans="1:20" ht="17.25" customHeight="1">
      <c r="A15" s="230" t="s">
        <v>16</v>
      </c>
      <c r="B15" s="235">
        <v>192</v>
      </c>
      <c r="C15" s="235">
        <v>197</v>
      </c>
      <c r="D15" s="235">
        <v>240</v>
      </c>
      <c r="E15" s="235">
        <v>376</v>
      </c>
      <c r="F15" s="235">
        <v>565</v>
      </c>
      <c r="G15" s="235">
        <v>713</v>
      </c>
      <c r="H15" s="235">
        <v>990</v>
      </c>
      <c r="I15" s="235">
        <v>869</v>
      </c>
      <c r="J15" s="235">
        <v>945</v>
      </c>
      <c r="K15" s="235">
        <v>991</v>
      </c>
      <c r="L15" s="231">
        <v>1083</v>
      </c>
      <c r="M15" s="231">
        <v>1220</v>
      </c>
      <c r="N15" s="231">
        <v>1266</v>
      </c>
      <c r="O15" s="231">
        <v>1303.2</v>
      </c>
      <c r="P15" s="231">
        <v>1394.1</v>
      </c>
      <c r="Q15" s="231">
        <v>1447.8</v>
      </c>
      <c r="R15" s="231">
        <v>1634</v>
      </c>
      <c r="S15" s="231">
        <v>1638</v>
      </c>
      <c r="T15" s="231">
        <v>1444</v>
      </c>
    </row>
    <row r="16" spans="1:20" ht="17.25" customHeight="1">
      <c r="A16" s="230" t="s">
        <v>264</v>
      </c>
      <c r="B16" s="231">
        <v>451</v>
      </c>
      <c r="C16" s="231">
        <v>451</v>
      </c>
      <c r="D16" s="231">
        <v>442</v>
      </c>
      <c r="E16" s="231">
        <v>454</v>
      </c>
      <c r="F16" s="231">
        <v>481</v>
      </c>
      <c r="G16" s="231">
        <v>456</v>
      </c>
      <c r="H16" s="231">
        <v>487</v>
      </c>
      <c r="I16" s="231">
        <v>630</v>
      </c>
      <c r="J16" s="231">
        <v>863</v>
      </c>
      <c r="K16" s="231">
        <v>953</v>
      </c>
      <c r="L16" s="231">
        <v>948</v>
      </c>
      <c r="M16" s="231">
        <v>1248</v>
      </c>
      <c r="N16" s="231">
        <v>1114</v>
      </c>
      <c r="O16" s="231">
        <v>1070.3</v>
      </c>
      <c r="P16" s="231">
        <v>1231.7</v>
      </c>
      <c r="Q16" s="231">
        <v>1331.9</v>
      </c>
      <c r="R16" s="231">
        <v>1504</v>
      </c>
      <c r="S16" s="231">
        <v>1490</v>
      </c>
      <c r="T16" s="231">
        <v>1375</v>
      </c>
    </row>
    <row r="17" spans="1:20" ht="17.25" customHeight="1">
      <c r="A17" s="230" t="s">
        <v>43</v>
      </c>
      <c r="B17" s="231">
        <v>339</v>
      </c>
      <c r="C17" s="231">
        <v>391</v>
      </c>
      <c r="D17" s="231">
        <v>407</v>
      </c>
      <c r="E17" s="231">
        <v>583</v>
      </c>
      <c r="F17" s="231">
        <v>551</v>
      </c>
      <c r="G17" s="231">
        <v>572</v>
      </c>
      <c r="H17" s="231">
        <v>672</v>
      </c>
      <c r="I17" s="231">
        <v>554</v>
      </c>
      <c r="J17" s="231">
        <v>357</v>
      </c>
      <c r="K17" s="231">
        <v>249</v>
      </c>
      <c r="L17" s="231">
        <v>488</v>
      </c>
      <c r="M17" s="231">
        <v>412.3</v>
      </c>
      <c r="N17" s="231">
        <v>690</v>
      </c>
      <c r="O17" s="232">
        <v>825.2</v>
      </c>
      <c r="P17" s="231">
        <v>967.2</v>
      </c>
      <c r="Q17" s="231">
        <v>1133.7</v>
      </c>
      <c r="R17" s="231">
        <v>1197</v>
      </c>
      <c r="S17" s="231">
        <v>1271</v>
      </c>
      <c r="T17" s="231">
        <v>1269.589345172031</v>
      </c>
    </row>
    <row r="18" spans="1:20" ht="17.25" customHeight="1">
      <c r="A18" s="230" t="s">
        <v>28</v>
      </c>
      <c r="B18" s="235">
        <v>474</v>
      </c>
      <c r="C18" s="235">
        <v>641</v>
      </c>
      <c r="D18" s="235">
        <v>645</v>
      </c>
      <c r="E18" s="235">
        <v>591</v>
      </c>
      <c r="F18" s="231">
        <v>539</v>
      </c>
      <c r="G18" s="231">
        <v>570</v>
      </c>
      <c r="H18" s="231">
        <v>496</v>
      </c>
      <c r="I18" s="231">
        <v>587</v>
      </c>
      <c r="J18" s="231">
        <v>794</v>
      </c>
      <c r="K18" s="231">
        <v>893</v>
      </c>
      <c r="L18" s="231">
        <v>936</v>
      </c>
      <c r="M18" s="231">
        <v>959</v>
      </c>
      <c r="N18" s="231">
        <v>982</v>
      </c>
      <c r="O18" s="231">
        <v>990.2</v>
      </c>
      <c r="P18" s="231">
        <v>993.4</v>
      </c>
      <c r="Q18" s="231">
        <v>1050.2</v>
      </c>
      <c r="R18" s="231">
        <v>1140</v>
      </c>
      <c r="S18" s="231">
        <v>1128</v>
      </c>
      <c r="T18" s="231">
        <v>1070</v>
      </c>
    </row>
    <row r="19" spans="1:20" ht="17.25" customHeight="1">
      <c r="A19" s="230" t="s">
        <v>214</v>
      </c>
      <c r="B19" s="235">
        <v>274</v>
      </c>
      <c r="C19" s="235">
        <v>358</v>
      </c>
      <c r="D19" s="235">
        <v>364</v>
      </c>
      <c r="E19" s="235">
        <v>431</v>
      </c>
      <c r="F19" s="231">
        <v>500</v>
      </c>
      <c r="G19" s="231">
        <v>408</v>
      </c>
      <c r="H19" s="231">
        <v>445</v>
      </c>
      <c r="I19" s="231">
        <v>380</v>
      </c>
      <c r="J19" s="231">
        <v>557</v>
      </c>
      <c r="K19" s="231">
        <v>711</v>
      </c>
      <c r="L19" s="231">
        <v>684</v>
      </c>
      <c r="M19" s="231">
        <v>793</v>
      </c>
      <c r="N19" s="231">
        <v>728</v>
      </c>
      <c r="O19" s="231">
        <v>927.4</v>
      </c>
      <c r="P19" s="231">
        <v>950.4</v>
      </c>
      <c r="Q19" s="231">
        <v>928</v>
      </c>
      <c r="R19" s="231">
        <v>1048</v>
      </c>
      <c r="S19" s="231">
        <v>1131</v>
      </c>
      <c r="T19" s="231">
        <v>1094</v>
      </c>
    </row>
    <row r="20" spans="1:20" ht="17.25" customHeight="1">
      <c r="A20" s="230" t="s">
        <v>17</v>
      </c>
      <c r="B20" s="235">
        <v>415</v>
      </c>
      <c r="C20" s="235">
        <v>429</v>
      </c>
      <c r="D20" s="235">
        <v>549</v>
      </c>
      <c r="E20" s="235">
        <v>478</v>
      </c>
      <c r="F20" s="231">
        <v>498</v>
      </c>
      <c r="G20" s="231">
        <v>529</v>
      </c>
      <c r="H20" s="231">
        <v>549</v>
      </c>
      <c r="I20" s="231">
        <v>549</v>
      </c>
      <c r="J20" s="231">
        <v>595</v>
      </c>
      <c r="K20" s="231">
        <v>525</v>
      </c>
      <c r="L20" s="231">
        <v>558</v>
      </c>
      <c r="M20" s="231">
        <v>613</v>
      </c>
      <c r="N20" s="231">
        <v>696</v>
      </c>
      <c r="O20" s="231">
        <v>758.9</v>
      </c>
      <c r="P20" s="231">
        <v>659.9</v>
      </c>
      <c r="Q20" s="231">
        <v>816.1</v>
      </c>
      <c r="R20" s="231">
        <v>863</v>
      </c>
      <c r="S20" s="231">
        <v>894</v>
      </c>
      <c r="T20" s="231">
        <v>879</v>
      </c>
    </row>
    <row r="21" spans="1:20" ht="17.25" customHeight="1">
      <c r="A21" s="230" t="s">
        <v>15</v>
      </c>
      <c r="B21" s="355">
        <f>SUM(B22-B7-B8-B9-B10-B11-B12-B13-B14-B15-B16-B17-B18-B19-B20)</f>
        <v>6332</v>
      </c>
      <c r="C21" s="355">
        <f t="shared" ref="C21:I21" si="0">SUM(C22-C7-C8-C9-C10-C11-C12-C13-C14-C15-C16-C17-C18-C19-C20)</f>
        <v>3871</v>
      </c>
      <c r="D21" s="355">
        <f t="shared" si="0"/>
        <v>8455</v>
      </c>
      <c r="E21" s="355">
        <f t="shared" si="0"/>
        <v>9907</v>
      </c>
      <c r="F21" s="355">
        <f t="shared" si="0"/>
        <v>10780</v>
      </c>
      <c r="G21" s="355">
        <f t="shared" si="0"/>
        <v>10707</v>
      </c>
      <c r="H21" s="355">
        <f t="shared" si="0"/>
        <v>11486</v>
      </c>
      <c r="I21" s="355">
        <f t="shared" si="0"/>
        <v>11170</v>
      </c>
      <c r="J21" s="355">
        <f>SUM(J22-J7-J8-J9-J10-J11-J12-J13-J14-J15-J16-J17-J18-J19-J20)</f>
        <v>11610</v>
      </c>
      <c r="K21" s="355">
        <f t="shared" ref="K21:T21" si="1">SUM(K22-K7-K8-K9-K10-K11-K12-K13-K14-K15-K16-K17-K18-K19-K20)</f>
        <v>12063</v>
      </c>
      <c r="L21" s="355">
        <f t="shared" si="1"/>
        <v>13004</v>
      </c>
      <c r="M21" s="355">
        <f t="shared" si="1"/>
        <v>14134.7</v>
      </c>
      <c r="N21" s="355">
        <f t="shared" si="1"/>
        <v>15104</v>
      </c>
      <c r="O21" s="355">
        <f t="shared" si="1"/>
        <v>15460.900000000005</v>
      </c>
      <c r="P21" s="355">
        <f t="shared" si="1"/>
        <v>16168.900000000007</v>
      </c>
      <c r="Q21" s="355">
        <f t="shared" si="1"/>
        <v>17467.499999999993</v>
      </c>
      <c r="R21" s="355">
        <f t="shared" si="1"/>
        <v>17975</v>
      </c>
      <c r="S21" s="355">
        <f t="shared" si="1"/>
        <v>18893</v>
      </c>
      <c r="T21" s="355">
        <f t="shared" si="1"/>
        <v>18375.410654827971</v>
      </c>
    </row>
    <row r="22" spans="1:20" ht="17.25" customHeight="1">
      <c r="A22" s="233" t="s">
        <v>151</v>
      </c>
      <c r="B22" s="234">
        <v>25422</v>
      </c>
      <c r="C22" s="234">
        <v>28171</v>
      </c>
      <c r="D22" s="234">
        <v>30248</v>
      </c>
      <c r="E22" s="234">
        <v>33655</v>
      </c>
      <c r="F22" s="234">
        <v>36240</v>
      </c>
      <c r="G22" s="234">
        <v>37734</v>
      </c>
      <c r="H22" s="234">
        <v>42618</v>
      </c>
      <c r="I22" s="234">
        <v>45228</v>
      </c>
      <c r="J22" s="234">
        <v>46406</v>
      </c>
      <c r="K22" s="234">
        <v>47936</v>
      </c>
      <c r="L22" s="234">
        <v>52402</v>
      </c>
      <c r="M22" s="234">
        <v>57810</v>
      </c>
      <c r="N22" s="234">
        <v>59460</v>
      </c>
      <c r="O22" s="234">
        <v>60689.400000000009</v>
      </c>
      <c r="P22" s="234">
        <v>63367.100000000006</v>
      </c>
      <c r="Q22" s="234">
        <v>66385.799999999988</v>
      </c>
      <c r="R22" s="234">
        <v>71745</v>
      </c>
      <c r="S22" s="234">
        <v>78787</v>
      </c>
      <c r="T22" s="234">
        <v>75325</v>
      </c>
    </row>
    <row r="23" spans="1:20" s="184" customFormat="1" ht="17.25" customHeight="1">
      <c r="A23" s="184" t="s">
        <v>312</v>
      </c>
      <c r="B23" s="207"/>
      <c r="C23" s="207"/>
      <c r="D23" s="207"/>
      <c r="E23" s="207"/>
      <c r="F23" s="207"/>
      <c r="G23" s="207"/>
    </row>
    <row r="24" spans="1:20" ht="17.25" customHeight="1">
      <c r="A24" s="184"/>
    </row>
    <row r="25" spans="1:20" ht="17.25" customHeight="1">
      <c r="A25" s="184"/>
    </row>
    <row r="26" spans="1:20" ht="17.25" customHeight="1">
      <c r="E26" s="182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view="pageBreakPreview" zoomScaleNormal="100" zoomScaleSheetLayoutView="100" workbookViewId="0">
      <selection activeCell="H38" sqref="H38"/>
    </sheetView>
  </sheetViews>
  <sheetFormatPr defaultColWidth="9.6640625" defaultRowHeight="17.25" customHeight="1"/>
  <cols>
    <col min="1" max="1" width="17.83203125" style="147" customWidth="1"/>
    <col min="2" max="2" width="15" style="245" customWidth="1"/>
    <col min="3" max="4" width="15" style="155" customWidth="1"/>
    <col min="5" max="5" width="15" style="246" customWidth="1"/>
    <col min="6" max="12" width="15" style="155" customWidth="1"/>
    <col min="13" max="13" width="15" style="250" customWidth="1"/>
    <col min="14" max="14" width="12.83203125" style="147" customWidth="1"/>
    <col min="15" max="16384" width="9.6640625" style="147"/>
  </cols>
  <sheetData>
    <row r="1" spans="1:15" ht="17.25" customHeight="1">
      <c r="B1" s="148"/>
      <c r="C1" s="148"/>
      <c r="D1" s="148"/>
      <c r="E1" s="148"/>
      <c r="F1" s="148"/>
      <c r="G1" s="147"/>
      <c r="H1" s="148"/>
      <c r="I1" s="148"/>
      <c r="J1" s="148"/>
      <c r="K1" s="148"/>
      <c r="L1" s="148"/>
      <c r="M1" s="148"/>
    </row>
    <row r="2" spans="1:15" s="10" customFormat="1" ht="17.25" customHeight="1">
      <c r="A2" s="578" t="s">
        <v>229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</row>
    <row r="3" spans="1:15" s="150" customFormat="1" ht="17.25" customHeight="1">
      <c r="A3" s="578" t="s">
        <v>304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</row>
    <row r="4" spans="1:15" s="150" customFormat="1" ht="17.25" customHeight="1">
      <c r="A4" s="592" t="s">
        <v>14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</row>
    <row r="5" spans="1:15" s="150" customFormat="1" ht="17.25" customHeight="1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</row>
    <row r="6" spans="1:15" s="150" customFormat="1" ht="17.25" customHeight="1">
      <c r="A6" s="618" t="s">
        <v>37</v>
      </c>
      <c r="B6" s="236" t="s">
        <v>197</v>
      </c>
      <c r="C6" s="236" t="s">
        <v>33</v>
      </c>
      <c r="D6" s="236" t="s">
        <v>46</v>
      </c>
      <c r="E6" s="236" t="s">
        <v>45</v>
      </c>
      <c r="F6" s="237" t="s">
        <v>50</v>
      </c>
      <c r="G6" s="236" t="s">
        <v>44</v>
      </c>
      <c r="H6" s="236" t="s">
        <v>34</v>
      </c>
      <c r="I6" s="236" t="s">
        <v>35</v>
      </c>
      <c r="J6" s="236" t="s">
        <v>76</v>
      </c>
      <c r="K6" s="236" t="s">
        <v>78</v>
      </c>
      <c r="L6" s="236" t="s">
        <v>36</v>
      </c>
      <c r="M6" s="620" t="s">
        <v>0</v>
      </c>
    </row>
    <row r="7" spans="1:15" s="150" customFormat="1" ht="17.25" customHeight="1">
      <c r="A7" s="619"/>
      <c r="B7" s="238" t="s">
        <v>38</v>
      </c>
      <c r="C7" s="239" t="s">
        <v>38</v>
      </c>
      <c r="D7" s="239" t="s">
        <v>38</v>
      </c>
      <c r="E7" s="239" t="s">
        <v>38</v>
      </c>
      <c r="F7" s="240" t="s">
        <v>38</v>
      </c>
      <c r="G7" s="239" t="s">
        <v>38</v>
      </c>
      <c r="H7" s="239" t="s">
        <v>38</v>
      </c>
      <c r="I7" s="239" t="s">
        <v>38</v>
      </c>
      <c r="J7" s="239" t="s">
        <v>38</v>
      </c>
      <c r="K7" s="239" t="s">
        <v>251</v>
      </c>
      <c r="L7" s="239" t="s">
        <v>252</v>
      </c>
      <c r="M7" s="621"/>
      <c r="N7" s="157"/>
    </row>
    <row r="8" spans="1:15" s="150" customFormat="1" ht="17.25" customHeight="1">
      <c r="A8" s="241" t="s">
        <v>29</v>
      </c>
      <c r="B8" s="473">
        <v>0</v>
      </c>
      <c r="C8" s="459">
        <v>44300</v>
      </c>
      <c r="D8" s="459">
        <v>6.36</v>
      </c>
      <c r="E8" s="473">
        <v>0</v>
      </c>
      <c r="F8" s="459">
        <v>0.76</v>
      </c>
      <c r="G8" s="459">
        <v>2.78</v>
      </c>
      <c r="H8" s="473">
        <v>0</v>
      </c>
      <c r="I8" s="459">
        <v>778.65</v>
      </c>
      <c r="J8" s="459">
        <v>4577.6499999999996</v>
      </c>
      <c r="K8" s="473">
        <v>0</v>
      </c>
      <c r="L8" s="459">
        <f>7.2</f>
        <v>7.2</v>
      </c>
      <c r="M8" s="459">
        <f>SUM(B8:L8)</f>
        <v>49673.4</v>
      </c>
      <c r="N8" s="157"/>
    </row>
    <row r="9" spans="1:15" s="150" customFormat="1" ht="17.25" customHeight="1">
      <c r="A9" s="241" t="s">
        <v>246</v>
      </c>
      <c r="B9" s="459">
        <v>15505</v>
      </c>
      <c r="C9" s="459">
        <v>14</v>
      </c>
      <c r="D9" s="459">
        <v>254</v>
      </c>
      <c r="E9" s="459">
        <v>3070</v>
      </c>
      <c r="F9" s="459">
        <v>1284.7</v>
      </c>
      <c r="G9" s="459">
        <v>1584</v>
      </c>
      <c r="H9" s="473">
        <v>0</v>
      </c>
      <c r="I9" s="473">
        <v>0</v>
      </c>
      <c r="J9" s="459">
        <v>1.1000000000000001</v>
      </c>
      <c r="K9" s="459">
        <f>274.6+514+228.8+18.6</f>
        <v>1036</v>
      </c>
      <c r="L9" s="459">
        <f>194+2833.7+63.9+757.2</f>
        <v>3848.8</v>
      </c>
      <c r="M9" s="459">
        <f t="shared" ref="M9:M27" si="0">SUM(B9:L9)</f>
        <v>26597.599999999999</v>
      </c>
      <c r="N9" s="243"/>
      <c r="O9" s="158"/>
    </row>
    <row r="10" spans="1:15" s="150" customFormat="1" ht="17.25" customHeight="1">
      <c r="A10" s="241" t="s">
        <v>47</v>
      </c>
      <c r="B10" s="459">
        <v>2833</v>
      </c>
      <c r="C10" s="473">
        <v>0</v>
      </c>
      <c r="D10" s="459">
        <v>3679</v>
      </c>
      <c r="E10" s="459">
        <v>9003</v>
      </c>
      <c r="F10" s="459">
        <v>56</v>
      </c>
      <c r="G10" s="459">
        <v>16</v>
      </c>
      <c r="H10" s="459">
        <v>2485</v>
      </c>
      <c r="I10" s="473">
        <v>0</v>
      </c>
      <c r="J10" s="473">
        <v>0</v>
      </c>
      <c r="K10" s="459">
        <f>4+353+243</f>
        <v>600</v>
      </c>
      <c r="L10" s="459">
        <f>2155+2149+120+1131</f>
        <v>5555</v>
      </c>
      <c r="M10" s="459">
        <f t="shared" si="0"/>
        <v>24227</v>
      </c>
      <c r="N10" s="243"/>
      <c r="O10" s="158"/>
    </row>
    <row r="11" spans="1:15" s="150" customFormat="1" ht="17.25" customHeight="1">
      <c r="A11" s="241" t="s">
        <v>1</v>
      </c>
      <c r="B11" s="459">
        <v>118</v>
      </c>
      <c r="C11" s="459">
        <v>19858.36</v>
      </c>
      <c r="D11" s="473">
        <v>0</v>
      </c>
      <c r="E11" s="459">
        <v>14</v>
      </c>
      <c r="F11" s="473">
        <v>0</v>
      </c>
      <c r="G11" s="473">
        <v>0</v>
      </c>
      <c r="H11" s="473">
        <v>0</v>
      </c>
      <c r="I11" s="459">
        <v>47.3</v>
      </c>
      <c r="J11" s="459">
        <v>2322</v>
      </c>
      <c r="K11" s="473">
        <v>0</v>
      </c>
      <c r="L11" s="473">
        <v>0</v>
      </c>
      <c r="M11" s="459">
        <f t="shared" si="0"/>
        <v>22359.66</v>
      </c>
      <c r="N11" s="243"/>
      <c r="O11" s="158"/>
    </row>
    <row r="12" spans="1:15" s="150" customFormat="1" ht="17.25" customHeight="1">
      <c r="A12" s="324" t="s">
        <v>250</v>
      </c>
      <c r="B12" s="459">
        <v>10944</v>
      </c>
      <c r="C12" s="473">
        <v>0</v>
      </c>
      <c r="D12" s="459">
        <v>197</v>
      </c>
      <c r="E12" s="459">
        <v>728</v>
      </c>
      <c r="F12" s="459">
        <v>209.8</v>
      </c>
      <c r="G12" s="459">
        <v>107</v>
      </c>
      <c r="H12" s="459">
        <v>15.9</v>
      </c>
      <c r="I12" s="473">
        <v>0</v>
      </c>
      <c r="J12" s="473">
        <v>0</v>
      </c>
      <c r="K12" s="459">
        <f>2617.2+83.3</f>
        <v>2700.5</v>
      </c>
      <c r="L12" s="459">
        <f>741.7+714.6+69.2+4650.4</f>
        <v>6175.9</v>
      </c>
      <c r="M12" s="459">
        <f t="shared" si="0"/>
        <v>21078.1</v>
      </c>
      <c r="N12" s="243"/>
      <c r="O12" s="158"/>
    </row>
    <row r="13" spans="1:15" s="150" customFormat="1" ht="17.25" customHeight="1">
      <c r="A13" s="324" t="s">
        <v>26</v>
      </c>
      <c r="B13" s="459">
        <v>8791</v>
      </c>
      <c r="C13" s="459">
        <v>550</v>
      </c>
      <c r="D13" s="459">
        <v>43.5</v>
      </c>
      <c r="E13" s="459">
        <v>17.3</v>
      </c>
      <c r="F13" s="459">
        <v>453.3</v>
      </c>
      <c r="G13" s="459">
        <v>65.7</v>
      </c>
      <c r="H13" s="473">
        <v>0</v>
      </c>
      <c r="I13" s="459">
        <v>2.1</v>
      </c>
      <c r="J13" s="459">
        <v>48</v>
      </c>
      <c r="K13" s="459">
        <f>111.8+2.7+12.5</f>
        <v>127</v>
      </c>
      <c r="L13" s="459">
        <f>110.8+518.9+3.9+770.9</f>
        <v>1404.5</v>
      </c>
      <c r="M13" s="459">
        <f t="shared" si="0"/>
        <v>11502.4</v>
      </c>
      <c r="N13" s="243"/>
      <c r="O13" s="158"/>
    </row>
    <row r="14" spans="1:15" s="150" customFormat="1" ht="17.25" customHeight="1">
      <c r="A14" s="324" t="s">
        <v>39</v>
      </c>
      <c r="B14" s="459">
        <v>8081.23</v>
      </c>
      <c r="C14" s="473">
        <v>0</v>
      </c>
      <c r="D14" s="459">
        <v>1415</v>
      </c>
      <c r="E14" s="459">
        <v>0.04</v>
      </c>
      <c r="F14" s="459">
        <v>15.34</v>
      </c>
      <c r="G14" s="459">
        <v>88.2</v>
      </c>
      <c r="H14" s="459">
        <v>21.94</v>
      </c>
      <c r="I14" s="473">
        <v>0</v>
      </c>
      <c r="J14" s="473">
        <v>0</v>
      </c>
      <c r="K14" s="459">
        <f>48.3+0.4+0.4</f>
        <v>49.099999999999994</v>
      </c>
      <c r="L14" s="459">
        <f>29.7+85+5.2+197.8</f>
        <v>317.70000000000005</v>
      </c>
      <c r="M14" s="459">
        <f t="shared" si="0"/>
        <v>9988.5500000000029</v>
      </c>
      <c r="N14" s="243"/>
      <c r="O14" s="158"/>
    </row>
    <row r="15" spans="1:15" s="150" customFormat="1" ht="17.25" customHeight="1">
      <c r="A15" s="324" t="s">
        <v>18</v>
      </c>
      <c r="B15" s="459">
        <v>1438</v>
      </c>
      <c r="C15" s="459">
        <v>278.89999999999998</v>
      </c>
      <c r="D15" s="459">
        <v>61.3</v>
      </c>
      <c r="E15" s="459">
        <v>2543</v>
      </c>
      <c r="F15" s="459">
        <v>1172.4000000000001</v>
      </c>
      <c r="G15" s="459">
        <v>376.7</v>
      </c>
      <c r="H15" s="473">
        <v>0</v>
      </c>
      <c r="I15" s="459">
        <v>351.6</v>
      </c>
      <c r="J15" s="459">
        <v>19.8</v>
      </c>
      <c r="K15" s="459">
        <f>73.1+42.9+667</f>
        <v>783</v>
      </c>
      <c r="L15" s="459">
        <f>2762.3+22.5+17.1+240.2</f>
        <v>3042.1</v>
      </c>
      <c r="M15" s="459">
        <f t="shared" si="0"/>
        <v>10066.800000000001</v>
      </c>
      <c r="N15" s="243"/>
      <c r="O15" s="158"/>
    </row>
    <row r="16" spans="1:15" s="150" customFormat="1" ht="17.25" customHeight="1">
      <c r="A16" s="324" t="s">
        <v>214</v>
      </c>
      <c r="B16" s="459">
        <v>746</v>
      </c>
      <c r="C16" s="473">
        <v>0</v>
      </c>
      <c r="D16" s="459">
        <v>5429</v>
      </c>
      <c r="E16" s="459">
        <v>654</v>
      </c>
      <c r="F16" s="473">
        <v>0</v>
      </c>
      <c r="G16" s="473">
        <v>0</v>
      </c>
      <c r="H16" s="473">
        <v>0</v>
      </c>
      <c r="I16" s="473">
        <v>0</v>
      </c>
      <c r="J16" s="473">
        <v>0</v>
      </c>
      <c r="K16" s="459">
        <f>0.3+29.5+44.9+1</f>
        <v>75.7</v>
      </c>
      <c r="L16" s="459">
        <f>200.6+450.7+18+97.9</f>
        <v>767.19999999999993</v>
      </c>
      <c r="M16" s="459">
        <f t="shared" si="0"/>
        <v>7671.9</v>
      </c>
      <c r="N16" s="243"/>
      <c r="O16" s="158"/>
    </row>
    <row r="17" spans="1:15" s="150" customFormat="1" ht="17.25" customHeight="1">
      <c r="A17" s="324" t="s">
        <v>211</v>
      </c>
      <c r="B17" s="459">
        <v>363.4</v>
      </c>
      <c r="C17" s="473">
        <v>0</v>
      </c>
      <c r="D17" s="459">
        <v>6787</v>
      </c>
      <c r="E17" s="459">
        <v>173.9</v>
      </c>
      <c r="F17" s="473">
        <v>0</v>
      </c>
      <c r="G17" s="473">
        <v>0</v>
      </c>
      <c r="H17" s="473">
        <v>0</v>
      </c>
      <c r="I17" s="473">
        <v>0</v>
      </c>
      <c r="J17" s="473">
        <v>0</v>
      </c>
      <c r="K17" s="459">
        <f>34.1+3.5</f>
        <v>37.6</v>
      </c>
      <c r="L17" s="459">
        <f>69.6+87.8+19.1</f>
        <v>176.49999999999997</v>
      </c>
      <c r="M17" s="459">
        <f t="shared" si="0"/>
        <v>7538.4</v>
      </c>
      <c r="N17" s="243"/>
      <c r="O17" s="158"/>
    </row>
    <row r="18" spans="1:15" s="150" customFormat="1" ht="17.25" customHeight="1">
      <c r="A18" s="324" t="s">
        <v>41</v>
      </c>
      <c r="B18" s="459">
        <v>360.2</v>
      </c>
      <c r="C18" s="473">
        <v>0</v>
      </c>
      <c r="D18" s="459">
        <v>20.7</v>
      </c>
      <c r="E18" s="459">
        <v>4187</v>
      </c>
      <c r="F18" s="473">
        <v>0</v>
      </c>
      <c r="G18" s="473">
        <v>0</v>
      </c>
      <c r="H18" s="473">
        <v>0</v>
      </c>
      <c r="I18" s="473">
        <v>0</v>
      </c>
      <c r="J18" s="473">
        <v>0</v>
      </c>
      <c r="K18" s="459">
        <f>63.1+11.3</f>
        <v>74.400000000000006</v>
      </c>
      <c r="L18" s="459">
        <f>92.3+138.5+6+279.3</f>
        <v>516.1</v>
      </c>
      <c r="M18" s="459">
        <f t="shared" si="0"/>
        <v>5158.3999999999996</v>
      </c>
      <c r="N18" s="243"/>
      <c r="O18" s="158"/>
    </row>
    <row r="19" spans="1:15" s="150" customFormat="1" ht="17.25" customHeight="1">
      <c r="A19" s="324" t="s">
        <v>32</v>
      </c>
      <c r="B19" s="459">
        <v>440</v>
      </c>
      <c r="C19" s="459">
        <v>3040</v>
      </c>
      <c r="D19" s="459">
        <v>11</v>
      </c>
      <c r="E19" s="473">
        <v>0</v>
      </c>
      <c r="F19" s="459">
        <v>0.2</v>
      </c>
      <c r="G19" s="473">
        <v>0</v>
      </c>
      <c r="H19" s="473">
        <v>0</v>
      </c>
      <c r="I19" s="459">
        <v>30</v>
      </c>
      <c r="J19" s="459">
        <v>274</v>
      </c>
      <c r="K19" s="459">
        <f>5.2+5.3</f>
        <v>10.5</v>
      </c>
      <c r="L19" s="459">
        <v>7.8</v>
      </c>
      <c r="M19" s="459">
        <f t="shared" si="0"/>
        <v>3813.5</v>
      </c>
      <c r="N19" s="243"/>
      <c r="O19" s="158"/>
    </row>
    <row r="20" spans="1:15" s="150" customFormat="1" ht="17.25" customHeight="1">
      <c r="A20" s="324" t="s">
        <v>42</v>
      </c>
      <c r="B20" s="459">
        <v>1070</v>
      </c>
      <c r="C20" s="459">
        <v>107</v>
      </c>
      <c r="D20" s="459">
        <v>13.5</v>
      </c>
      <c r="E20" s="459">
        <v>537</v>
      </c>
      <c r="F20" s="459">
        <v>64.5</v>
      </c>
      <c r="G20" s="459">
        <v>3.8</v>
      </c>
      <c r="H20" s="473">
        <v>0</v>
      </c>
      <c r="I20" s="459">
        <v>130</v>
      </c>
      <c r="J20" s="459">
        <v>17.600000000000001</v>
      </c>
      <c r="K20" s="459">
        <f>27.4+29.6+0.7</f>
        <v>57.7</v>
      </c>
      <c r="L20" s="459">
        <f>26.3+115.2+24+119.9</f>
        <v>285.39999999999998</v>
      </c>
      <c r="M20" s="459">
        <f t="shared" si="0"/>
        <v>2286.5</v>
      </c>
      <c r="N20" s="243"/>
      <c r="O20" s="158"/>
    </row>
    <row r="21" spans="1:15" s="150" customFormat="1" ht="17.25" customHeight="1">
      <c r="A21" s="324" t="s">
        <v>20</v>
      </c>
      <c r="B21" s="459">
        <v>489</v>
      </c>
      <c r="C21" s="473">
        <v>0</v>
      </c>
      <c r="D21" s="473">
        <v>0</v>
      </c>
      <c r="E21" s="459">
        <v>1015</v>
      </c>
      <c r="F21" s="459">
        <v>4.5999999999999996</v>
      </c>
      <c r="G21" s="459">
        <v>0.5</v>
      </c>
      <c r="H21" s="473">
        <v>0</v>
      </c>
      <c r="I21" s="473">
        <v>0</v>
      </c>
      <c r="J21" s="473">
        <v>0</v>
      </c>
      <c r="K21" s="459">
        <f>53.3+80.7+40.5</f>
        <v>174.5</v>
      </c>
      <c r="L21" s="459">
        <f>51.7+70.7+1.6+40.5</f>
        <v>164.5</v>
      </c>
      <c r="M21" s="459">
        <f t="shared" si="0"/>
        <v>1848.1</v>
      </c>
      <c r="O21" s="158"/>
    </row>
    <row r="22" spans="1:15" s="150" customFormat="1" ht="17.25" customHeight="1">
      <c r="A22" s="324" t="s">
        <v>21</v>
      </c>
      <c r="B22" s="459">
        <v>368.2</v>
      </c>
      <c r="C22" s="473">
        <v>0</v>
      </c>
      <c r="D22" s="459">
        <v>47.8</v>
      </c>
      <c r="E22" s="459">
        <v>416</v>
      </c>
      <c r="F22" s="459">
        <v>324.5</v>
      </c>
      <c r="G22" s="473">
        <v>0</v>
      </c>
      <c r="H22" s="473">
        <v>0</v>
      </c>
      <c r="I22" s="459">
        <v>4.9000000000000004</v>
      </c>
      <c r="J22" s="473">
        <v>0</v>
      </c>
      <c r="K22" s="473">
        <v>0</v>
      </c>
      <c r="L22" s="459">
        <f>579+209</f>
        <v>788</v>
      </c>
      <c r="M22" s="459">
        <f t="shared" si="0"/>
        <v>1949.4</v>
      </c>
      <c r="N22" s="243"/>
      <c r="O22" s="158"/>
    </row>
    <row r="23" spans="1:15" s="150" customFormat="1" ht="17.25" customHeight="1">
      <c r="A23" s="324" t="s">
        <v>23</v>
      </c>
      <c r="B23" s="459">
        <v>229.3</v>
      </c>
      <c r="C23" s="473">
        <v>0</v>
      </c>
      <c r="D23" s="459">
        <v>1100</v>
      </c>
      <c r="E23" s="459">
        <v>61.3</v>
      </c>
      <c r="F23" s="459">
        <v>210.1</v>
      </c>
      <c r="G23" s="473">
        <v>0</v>
      </c>
      <c r="H23" s="459">
        <v>217.8</v>
      </c>
      <c r="I23" s="473">
        <v>0</v>
      </c>
      <c r="J23" s="473">
        <v>0</v>
      </c>
      <c r="K23" s="459">
        <f>36.8+56.8+7.2</f>
        <v>100.8</v>
      </c>
      <c r="L23" s="459">
        <f>104.5+20.2+50.2</f>
        <v>174.9</v>
      </c>
      <c r="M23" s="459">
        <f t="shared" si="0"/>
        <v>2094.1999999999998</v>
      </c>
      <c r="N23" s="243"/>
      <c r="O23" s="158"/>
    </row>
    <row r="24" spans="1:15" s="150" customFormat="1" ht="17.25" customHeight="1">
      <c r="A24" s="324" t="s">
        <v>28</v>
      </c>
      <c r="B24" s="459">
        <v>132</v>
      </c>
      <c r="C24" s="459">
        <v>1527</v>
      </c>
      <c r="D24" s="473">
        <v>0</v>
      </c>
      <c r="E24" s="473">
        <v>0</v>
      </c>
      <c r="F24" s="459">
        <v>2.9</v>
      </c>
      <c r="G24" s="473">
        <v>0</v>
      </c>
      <c r="H24" s="473">
        <v>0</v>
      </c>
      <c r="I24" s="473">
        <v>0</v>
      </c>
      <c r="J24" s="459">
        <v>122</v>
      </c>
      <c r="K24" s="473">
        <v>0</v>
      </c>
      <c r="L24" s="459">
        <v>25.2</v>
      </c>
      <c r="M24" s="459">
        <f t="shared" si="0"/>
        <v>1809.1000000000001</v>
      </c>
      <c r="N24" s="243"/>
      <c r="O24" s="158"/>
    </row>
    <row r="25" spans="1:15" s="150" customFormat="1" ht="17.25" customHeight="1">
      <c r="A25" s="324" t="s">
        <v>30</v>
      </c>
      <c r="B25" s="459">
        <v>101.2</v>
      </c>
      <c r="C25" s="459">
        <v>1220</v>
      </c>
      <c r="D25" s="473">
        <v>0</v>
      </c>
      <c r="E25" s="473">
        <v>0</v>
      </c>
      <c r="F25" s="459">
        <v>11.8</v>
      </c>
      <c r="G25" s="459">
        <v>371.75</v>
      </c>
      <c r="H25" s="473">
        <v>0</v>
      </c>
      <c r="I25" s="473">
        <v>0</v>
      </c>
      <c r="J25" s="459">
        <v>141.66</v>
      </c>
      <c r="K25" s="473">
        <v>0</v>
      </c>
      <c r="L25" s="473">
        <v>0</v>
      </c>
      <c r="M25" s="459">
        <f t="shared" si="0"/>
        <v>1846.41</v>
      </c>
      <c r="O25" s="158"/>
    </row>
    <row r="26" spans="1:15" s="150" customFormat="1" ht="17.25" customHeight="1">
      <c r="A26" s="241" t="s">
        <v>43</v>
      </c>
      <c r="B26" s="459">
        <v>32.6</v>
      </c>
      <c r="C26" s="459">
        <v>130</v>
      </c>
      <c r="D26" s="473">
        <v>0</v>
      </c>
      <c r="E26" s="473">
        <v>0</v>
      </c>
      <c r="F26" s="473">
        <v>0</v>
      </c>
      <c r="G26" s="473">
        <v>0</v>
      </c>
      <c r="H26" s="473">
        <v>0</v>
      </c>
      <c r="I26" s="459">
        <v>1194</v>
      </c>
      <c r="J26" s="459">
        <v>13.6</v>
      </c>
      <c r="K26" s="473">
        <v>0</v>
      </c>
      <c r="L26" s="459">
        <v>97</v>
      </c>
      <c r="M26" s="459">
        <f t="shared" si="0"/>
        <v>1467.1999999999998</v>
      </c>
      <c r="N26" s="243"/>
      <c r="O26" s="158"/>
    </row>
    <row r="27" spans="1:15" s="150" customFormat="1" ht="17.25" customHeight="1">
      <c r="A27" s="324" t="s">
        <v>40</v>
      </c>
      <c r="B27" s="459">
        <v>7.6</v>
      </c>
      <c r="C27" s="473">
        <v>0</v>
      </c>
      <c r="D27" s="459">
        <v>13.4</v>
      </c>
      <c r="E27" s="459">
        <v>384</v>
      </c>
      <c r="F27" s="459">
        <v>20</v>
      </c>
      <c r="G27" s="459">
        <v>0.8</v>
      </c>
      <c r="H27" s="459">
        <v>19.2</v>
      </c>
      <c r="I27" s="473">
        <v>0</v>
      </c>
      <c r="J27" s="473">
        <v>0</v>
      </c>
      <c r="K27" s="459">
        <v>3</v>
      </c>
      <c r="L27" s="459">
        <f>69.7+29.9+546</f>
        <v>645.6</v>
      </c>
      <c r="M27" s="459">
        <f t="shared" si="0"/>
        <v>1093.5999999999999</v>
      </c>
      <c r="N27" s="243"/>
      <c r="O27" s="158"/>
    </row>
    <row r="28" spans="1:15" s="150" customFormat="1" ht="17.25" customHeight="1">
      <c r="A28" s="241" t="s">
        <v>15</v>
      </c>
      <c r="B28" s="459">
        <f t="shared" ref="B28:C28" si="1">B29-B8-B9-B10-B11-B12-B13-B14-B15-B16-B17-B18-B19-B20-B21-B22-B23-B24-B25-B26-B27</f>
        <v>4846.2700000000004</v>
      </c>
      <c r="C28" s="459">
        <f t="shared" si="1"/>
        <v>5648.74</v>
      </c>
      <c r="D28" s="459">
        <f>D29-D8-D9-D10-D11-D12-D13-D14-D15-D16-D17-D18-D19-D20-D21-D22-D23-D24-D25-D26-D27</f>
        <v>1705.44</v>
      </c>
      <c r="E28" s="459">
        <f t="shared" ref="E28:M28" si="2">E29-E8-E9-E10-E11-E12-E13-E14-E15-E16-E17-E18-E19-E20-E21-E22-E23-E24-E25-E26-E27</f>
        <v>2141.46</v>
      </c>
      <c r="F28" s="459">
        <f t="shared" si="2"/>
        <v>759.09999999999945</v>
      </c>
      <c r="G28" s="459">
        <f t="shared" si="2"/>
        <v>1372.7700000000002</v>
      </c>
      <c r="H28" s="459">
        <f t="shared" si="2"/>
        <v>940.15999999999985</v>
      </c>
      <c r="I28" s="459">
        <f t="shared" si="2"/>
        <v>374.44999999999982</v>
      </c>
      <c r="J28" s="459">
        <f t="shared" si="2"/>
        <v>570.59000000000049</v>
      </c>
      <c r="K28" s="459">
        <f t="shared" si="2"/>
        <v>960.2</v>
      </c>
      <c r="L28" s="459">
        <f t="shared" si="2"/>
        <v>3420.6</v>
      </c>
      <c r="M28" s="459">
        <f t="shared" si="2"/>
        <v>22739.779999999988</v>
      </c>
      <c r="N28" s="242"/>
      <c r="O28" s="158"/>
    </row>
    <row r="29" spans="1:15" s="184" customFormat="1" ht="17.25" customHeight="1">
      <c r="A29" s="244" t="s">
        <v>0</v>
      </c>
      <c r="B29" s="472">
        <v>56896</v>
      </c>
      <c r="C29" s="472">
        <v>76674</v>
      </c>
      <c r="D29" s="472">
        <v>20784</v>
      </c>
      <c r="E29" s="472">
        <v>24945</v>
      </c>
      <c r="F29" s="472">
        <v>4590</v>
      </c>
      <c r="G29" s="472">
        <v>3990</v>
      </c>
      <c r="H29" s="472">
        <v>3700</v>
      </c>
      <c r="I29" s="472">
        <v>2913</v>
      </c>
      <c r="J29" s="472">
        <v>8108</v>
      </c>
      <c r="K29" s="472">
        <v>6790</v>
      </c>
      <c r="L29" s="472">
        <v>27420</v>
      </c>
      <c r="M29" s="472">
        <f>SUM(B29:L29)</f>
        <v>236810</v>
      </c>
      <c r="N29" s="448"/>
    </row>
    <row r="30" spans="1:15" s="184" customFormat="1" ht="17.25" customHeight="1">
      <c r="A30" s="150" t="s">
        <v>325</v>
      </c>
      <c r="C30" s="207"/>
      <c r="D30" s="207"/>
      <c r="E30" s="207"/>
      <c r="F30" s="207"/>
      <c r="G30" s="207"/>
      <c r="M30" s="449"/>
    </row>
    <row r="31" spans="1:15" s="184" customFormat="1" ht="17.25" customHeight="1">
      <c r="A31" s="184" t="s">
        <v>326</v>
      </c>
      <c r="B31" s="207"/>
      <c r="C31" s="207"/>
      <c r="D31" s="207"/>
      <c r="E31" s="207"/>
      <c r="F31" s="207"/>
      <c r="G31" s="207"/>
      <c r="M31" s="449"/>
    </row>
    <row r="32" spans="1:15" s="150" customFormat="1" ht="17.25" customHeight="1">
      <c r="A32" s="184" t="s">
        <v>312</v>
      </c>
      <c r="B32" s="207"/>
      <c r="C32" s="267"/>
      <c r="D32" s="158"/>
      <c r="E32" s="264"/>
      <c r="F32" s="158"/>
      <c r="G32" s="158"/>
      <c r="H32" s="158"/>
      <c r="I32" s="158"/>
      <c r="J32" s="158"/>
      <c r="K32" s="158"/>
      <c r="L32" s="158"/>
      <c r="M32" s="268"/>
    </row>
    <row r="33" spans="1:17" s="150" customFormat="1" ht="17.25" customHeight="1">
      <c r="B33" s="266"/>
      <c r="C33" s="267"/>
      <c r="D33" s="158"/>
      <c r="E33" s="269"/>
      <c r="F33" s="267"/>
      <c r="G33" s="267"/>
      <c r="H33" s="267"/>
      <c r="I33" s="267"/>
      <c r="J33" s="267"/>
      <c r="K33" s="158"/>
      <c r="L33" s="158"/>
      <c r="M33" s="265"/>
    </row>
    <row r="34" spans="1:17" ht="17.25" customHeight="1">
      <c r="B34" s="248"/>
      <c r="C34" s="249"/>
      <c r="D34" s="249"/>
      <c r="E34" s="251"/>
      <c r="F34" s="249"/>
      <c r="G34" s="252"/>
      <c r="H34" s="249"/>
      <c r="I34" s="249"/>
      <c r="J34" s="249"/>
      <c r="K34" s="249"/>
      <c r="L34" s="249"/>
      <c r="M34" s="247"/>
    </row>
    <row r="35" spans="1:17" ht="17.25" customHeight="1">
      <c r="B35" s="248"/>
      <c r="C35" s="249"/>
      <c r="D35" s="249"/>
      <c r="E35" s="251"/>
      <c r="F35" s="249"/>
      <c r="G35" s="252"/>
      <c r="H35" s="249"/>
      <c r="I35" s="249"/>
      <c r="J35" s="249"/>
      <c r="K35" s="249"/>
      <c r="L35" s="249"/>
      <c r="M35" s="247"/>
    </row>
    <row r="36" spans="1:17" ht="17.25" customHeight="1">
      <c r="A36" s="149"/>
      <c r="B36" s="248"/>
      <c r="C36" s="249"/>
      <c r="D36" s="249"/>
      <c r="E36" s="251"/>
      <c r="F36" s="249"/>
      <c r="G36" s="252"/>
      <c r="H36" s="249"/>
      <c r="I36" s="249"/>
      <c r="J36" s="249"/>
      <c r="K36" s="249"/>
      <c r="L36" s="249"/>
      <c r="M36" s="247"/>
    </row>
    <row r="37" spans="1:17" ht="17.25" customHeight="1">
      <c r="A37" s="253"/>
      <c r="B37" s="248"/>
      <c r="C37" s="249"/>
      <c r="D37" s="249"/>
      <c r="E37" s="251"/>
      <c r="F37" s="249"/>
      <c r="G37" s="252"/>
      <c r="H37" s="249"/>
      <c r="I37" s="249"/>
      <c r="J37" s="249"/>
      <c r="K37" s="249"/>
      <c r="L37" s="249"/>
      <c r="M37" s="247"/>
    </row>
    <row r="38" spans="1:17" ht="17.25" customHeight="1">
      <c r="A38" s="253"/>
      <c r="B38" s="248"/>
      <c r="C38" s="249"/>
      <c r="D38" s="249"/>
      <c r="E38" s="251"/>
      <c r="F38" s="249"/>
      <c r="G38" s="252"/>
      <c r="H38" s="249"/>
      <c r="I38" s="249"/>
      <c r="J38" s="249"/>
      <c r="K38" s="249"/>
      <c r="L38" s="249"/>
      <c r="M38" s="247"/>
    </row>
    <row r="39" spans="1:17" ht="17.25" customHeight="1">
      <c r="A39" s="253"/>
      <c r="B39" s="254"/>
      <c r="C39" s="250"/>
      <c r="D39" s="250"/>
      <c r="F39" s="250"/>
      <c r="G39" s="249"/>
      <c r="H39" s="250"/>
      <c r="I39" s="250"/>
      <c r="J39" s="250"/>
      <c r="K39" s="250"/>
      <c r="L39" s="250"/>
    </row>
    <row r="40" spans="1:17" ht="17.25" customHeight="1">
      <c r="A40" s="253"/>
      <c r="B40" s="254"/>
      <c r="C40" s="250"/>
      <c r="D40" s="250"/>
      <c r="E40" s="255"/>
      <c r="F40" s="250"/>
      <c r="G40" s="249"/>
      <c r="H40" s="250"/>
      <c r="I40" s="250"/>
      <c r="J40" s="250"/>
      <c r="K40" s="250"/>
      <c r="L40" s="250"/>
    </row>
    <row r="41" spans="1:17" ht="17.25" customHeight="1">
      <c r="A41" s="253"/>
      <c r="B41" s="254"/>
      <c r="C41" s="256"/>
      <c r="D41" s="257"/>
      <c r="E41" s="258"/>
      <c r="F41" s="257"/>
      <c r="G41" s="252"/>
      <c r="H41" s="257"/>
      <c r="I41" s="257"/>
      <c r="J41" s="257"/>
      <c r="K41" s="257"/>
      <c r="L41" s="257"/>
      <c r="M41" s="259"/>
      <c r="N41" s="260"/>
      <c r="O41" s="149"/>
      <c r="P41" s="260"/>
      <c r="Q41" s="261"/>
    </row>
    <row r="42" spans="1:17" ht="17.25" customHeight="1">
      <c r="A42" s="253"/>
      <c r="B42" s="254"/>
      <c r="C42" s="250"/>
      <c r="D42" s="250"/>
      <c r="E42" s="255"/>
      <c r="F42" s="250"/>
      <c r="G42" s="252"/>
      <c r="H42" s="250"/>
      <c r="I42" s="250"/>
      <c r="J42" s="250"/>
      <c r="K42" s="250"/>
      <c r="L42" s="250"/>
    </row>
    <row r="43" spans="1:17" ht="17.25" customHeight="1">
      <c r="A43" s="253"/>
      <c r="B43" s="254"/>
      <c r="C43" s="250"/>
      <c r="D43" s="250"/>
      <c r="E43" s="255"/>
      <c r="F43" s="250"/>
      <c r="G43" s="252"/>
      <c r="H43" s="250"/>
      <c r="I43" s="250"/>
      <c r="J43" s="250"/>
      <c r="K43" s="250"/>
      <c r="L43" s="250"/>
    </row>
    <row r="44" spans="1:17" ht="17.25" customHeight="1">
      <c r="A44" s="253"/>
      <c r="B44" s="262"/>
      <c r="C44" s="247"/>
      <c r="D44" s="247"/>
      <c r="E44" s="263"/>
      <c r="F44" s="247"/>
      <c r="G44" s="252"/>
      <c r="H44" s="247"/>
      <c r="I44" s="247"/>
      <c r="J44" s="247"/>
      <c r="K44" s="247"/>
      <c r="L44" s="247"/>
      <c r="M44" s="247"/>
    </row>
    <row r="45" spans="1:17" ht="17.25" customHeight="1">
      <c r="A45" s="253"/>
      <c r="B45" s="254"/>
      <c r="C45" s="250"/>
      <c r="D45" s="250"/>
      <c r="E45" s="255"/>
      <c r="F45" s="250"/>
      <c r="G45" s="250"/>
      <c r="H45" s="250"/>
      <c r="I45" s="250"/>
      <c r="J45" s="250"/>
      <c r="K45" s="250"/>
      <c r="L45" s="250"/>
    </row>
    <row r="46" spans="1:17" ht="17.25" customHeight="1">
      <c r="G46" s="252"/>
    </row>
    <row r="47" spans="1:17" ht="17.25" customHeight="1">
      <c r="B47" s="248"/>
      <c r="C47" s="249"/>
      <c r="D47" s="249"/>
      <c r="E47" s="251"/>
      <c r="F47" s="249"/>
      <c r="G47" s="249"/>
      <c r="H47" s="249"/>
      <c r="I47" s="249"/>
      <c r="J47" s="249"/>
      <c r="K47" s="249"/>
      <c r="L47" s="249"/>
      <c r="M47" s="247"/>
    </row>
    <row r="48" spans="1:17" ht="17.25" customHeight="1">
      <c r="B48" s="248"/>
      <c r="C48" s="249"/>
      <c r="D48" s="249"/>
      <c r="E48" s="251"/>
      <c r="F48" s="249"/>
      <c r="G48" s="249"/>
      <c r="H48" s="249"/>
      <c r="I48" s="249"/>
      <c r="J48" s="249"/>
      <c r="K48" s="249"/>
      <c r="L48" s="249"/>
      <c r="M48" s="247"/>
    </row>
    <row r="49" spans="2:13" ht="17.25" customHeight="1">
      <c r="B49" s="248"/>
      <c r="C49" s="249"/>
      <c r="D49" s="249"/>
      <c r="E49" s="251"/>
      <c r="F49" s="249"/>
      <c r="G49" s="249"/>
      <c r="H49" s="249"/>
      <c r="I49" s="249"/>
      <c r="J49" s="249"/>
      <c r="K49" s="249"/>
      <c r="L49" s="249"/>
      <c r="M49" s="247"/>
    </row>
    <row r="50" spans="2:13" ht="17.25" customHeight="1">
      <c r="B50" s="248"/>
      <c r="C50" s="249"/>
      <c r="D50" s="249"/>
      <c r="E50" s="251"/>
      <c r="F50" s="249"/>
      <c r="G50" s="249"/>
      <c r="H50" s="249"/>
      <c r="I50" s="249"/>
      <c r="J50" s="249"/>
      <c r="K50" s="249"/>
      <c r="L50" s="249"/>
      <c r="M50" s="247"/>
    </row>
    <row r="51" spans="2:13" ht="17.25" customHeight="1">
      <c r="B51" s="248"/>
      <c r="C51" s="249"/>
      <c r="D51" s="249"/>
      <c r="E51" s="251"/>
      <c r="F51" s="249"/>
      <c r="G51" s="249"/>
      <c r="H51" s="249"/>
      <c r="I51" s="249"/>
      <c r="J51" s="249"/>
      <c r="K51" s="249"/>
      <c r="L51" s="249"/>
      <c r="M51" s="247"/>
    </row>
    <row r="52" spans="2:13" ht="17.25" customHeight="1">
      <c r="B52" s="248"/>
      <c r="C52" s="249"/>
      <c r="D52" s="249"/>
      <c r="E52" s="251"/>
      <c r="F52" s="249"/>
      <c r="G52" s="249"/>
      <c r="H52" s="249"/>
      <c r="I52" s="249"/>
      <c r="J52" s="249"/>
      <c r="K52" s="249"/>
      <c r="L52" s="249"/>
      <c r="M52" s="247"/>
    </row>
    <row r="53" spans="2:13" ht="17.25" customHeight="1">
      <c r="B53" s="248"/>
      <c r="C53" s="249"/>
      <c r="D53" s="249"/>
      <c r="E53" s="251"/>
      <c r="F53" s="249"/>
      <c r="G53" s="249"/>
      <c r="H53" s="249"/>
      <c r="I53" s="249"/>
      <c r="J53" s="249"/>
      <c r="K53" s="249"/>
      <c r="L53" s="249"/>
      <c r="M53" s="247"/>
    </row>
    <row r="54" spans="2:13" ht="17.25" customHeight="1">
      <c r="B54" s="248"/>
      <c r="C54" s="249"/>
      <c r="D54" s="249"/>
      <c r="E54" s="251"/>
      <c r="F54" s="249"/>
      <c r="G54" s="249"/>
      <c r="H54" s="249"/>
      <c r="I54" s="249"/>
      <c r="J54" s="249"/>
      <c r="K54" s="249"/>
      <c r="L54" s="249"/>
      <c r="M54" s="247"/>
    </row>
    <row r="55" spans="2:13" ht="17.25" customHeight="1">
      <c r="B55" s="248"/>
      <c r="C55" s="249"/>
      <c r="D55" s="249"/>
      <c r="E55" s="251"/>
      <c r="F55" s="249"/>
      <c r="G55" s="249"/>
      <c r="H55" s="249"/>
      <c r="I55" s="249"/>
      <c r="J55" s="249"/>
      <c r="K55" s="249"/>
      <c r="L55" s="249"/>
      <c r="M55" s="247"/>
    </row>
    <row r="56" spans="2:13" ht="17.25" customHeight="1">
      <c r="B56" s="248"/>
      <c r="C56" s="249"/>
      <c r="D56" s="249"/>
      <c r="E56" s="251"/>
      <c r="F56" s="249"/>
      <c r="G56" s="249"/>
      <c r="H56" s="249"/>
      <c r="I56" s="249"/>
      <c r="J56" s="249"/>
      <c r="K56" s="249"/>
      <c r="L56" s="249"/>
      <c r="M56" s="247"/>
    </row>
    <row r="57" spans="2:13" ht="17.25" customHeight="1">
      <c r="B57" s="248"/>
      <c r="C57" s="249"/>
      <c r="D57" s="249"/>
      <c r="E57" s="251"/>
      <c r="F57" s="249"/>
      <c r="G57" s="249"/>
      <c r="H57" s="249"/>
      <c r="I57" s="249"/>
      <c r="J57" s="249"/>
      <c r="K57" s="249"/>
      <c r="L57" s="249"/>
      <c r="M57" s="247"/>
    </row>
    <row r="58" spans="2:13" ht="17.25" customHeight="1">
      <c r="B58" s="248"/>
      <c r="C58" s="249"/>
      <c r="D58" s="249"/>
      <c r="E58" s="251"/>
      <c r="F58" s="249"/>
      <c r="G58" s="249"/>
      <c r="H58" s="249"/>
      <c r="I58" s="249"/>
      <c r="J58" s="249"/>
      <c r="K58" s="249"/>
      <c r="L58" s="249"/>
      <c r="M58" s="247"/>
    </row>
    <row r="59" spans="2:13" ht="17.25" customHeight="1">
      <c r="B59" s="248"/>
      <c r="C59" s="249"/>
      <c r="D59" s="249"/>
      <c r="E59" s="251"/>
      <c r="F59" s="249"/>
      <c r="G59" s="249"/>
      <c r="H59" s="249"/>
      <c r="I59" s="249"/>
      <c r="J59" s="249"/>
      <c r="K59" s="249"/>
      <c r="L59" s="249"/>
      <c r="M59" s="247"/>
    </row>
    <row r="60" spans="2:13" ht="17.25" customHeight="1">
      <c r="B60" s="248"/>
      <c r="C60" s="249"/>
      <c r="D60" s="249"/>
      <c r="E60" s="251"/>
      <c r="F60" s="249"/>
      <c r="G60" s="249"/>
      <c r="H60" s="249"/>
      <c r="I60" s="249"/>
      <c r="J60" s="249"/>
      <c r="K60" s="249"/>
      <c r="L60" s="249"/>
      <c r="M60" s="247"/>
    </row>
    <row r="61" spans="2:13" ht="17.25" customHeight="1">
      <c r="B61" s="248"/>
      <c r="C61" s="249"/>
      <c r="D61" s="249"/>
      <c r="E61" s="251"/>
      <c r="F61" s="249"/>
      <c r="G61" s="249"/>
      <c r="H61" s="249"/>
      <c r="I61" s="249"/>
      <c r="J61" s="249"/>
      <c r="K61" s="249"/>
      <c r="L61" s="249"/>
      <c r="M61" s="247"/>
    </row>
    <row r="62" spans="2:13" ht="17.25" customHeight="1">
      <c r="B62" s="248"/>
      <c r="C62" s="249"/>
      <c r="D62" s="249"/>
      <c r="E62" s="251"/>
      <c r="F62" s="249"/>
      <c r="G62" s="249"/>
      <c r="H62" s="249"/>
      <c r="I62" s="249"/>
      <c r="J62" s="249"/>
      <c r="K62" s="249"/>
      <c r="L62" s="249"/>
      <c r="M62" s="247"/>
    </row>
    <row r="63" spans="2:13" ht="17.25" customHeight="1">
      <c r="B63" s="248"/>
      <c r="C63" s="249"/>
      <c r="D63" s="249"/>
      <c r="E63" s="251"/>
      <c r="F63" s="249"/>
      <c r="G63" s="249"/>
      <c r="H63" s="249"/>
      <c r="I63" s="249"/>
      <c r="J63" s="249"/>
      <c r="K63" s="249"/>
      <c r="L63" s="249"/>
      <c r="M63" s="247"/>
    </row>
    <row r="64" spans="2:13" ht="17.25" customHeight="1">
      <c r="B64" s="248"/>
      <c r="C64" s="249"/>
      <c r="D64" s="249"/>
      <c r="E64" s="251"/>
      <c r="F64" s="249"/>
      <c r="G64" s="249"/>
      <c r="H64" s="249"/>
      <c r="I64" s="249"/>
      <c r="J64" s="249"/>
      <c r="K64" s="249"/>
      <c r="L64" s="249"/>
      <c r="M64" s="247"/>
    </row>
    <row r="65" spans="2:13" ht="17.25" customHeight="1">
      <c r="B65" s="248"/>
      <c r="C65" s="249"/>
      <c r="D65" s="249"/>
      <c r="E65" s="251"/>
      <c r="F65" s="249"/>
      <c r="G65" s="249"/>
      <c r="H65" s="249"/>
      <c r="I65" s="249"/>
      <c r="J65" s="249"/>
      <c r="K65" s="249"/>
      <c r="L65" s="249"/>
      <c r="M65" s="247"/>
    </row>
    <row r="67" spans="2:13" ht="17.25" customHeight="1">
      <c r="B67" s="248"/>
      <c r="C67" s="249"/>
      <c r="D67" s="249"/>
      <c r="E67" s="251"/>
      <c r="F67" s="249"/>
      <c r="G67" s="249"/>
      <c r="H67" s="249"/>
      <c r="I67" s="249"/>
      <c r="J67" s="249"/>
      <c r="K67" s="249"/>
      <c r="L67" s="249"/>
      <c r="M67" s="247"/>
    </row>
    <row r="68" spans="2:13" ht="17.25" customHeight="1">
      <c r="B68" s="248"/>
      <c r="C68" s="249"/>
      <c r="D68" s="249"/>
      <c r="E68" s="251"/>
      <c r="F68" s="249"/>
      <c r="G68" s="249"/>
      <c r="H68" s="249"/>
      <c r="I68" s="249"/>
      <c r="J68" s="249"/>
      <c r="K68" s="249"/>
      <c r="L68" s="249"/>
      <c r="M68" s="247"/>
    </row>
    <row r="70" spans="2:13" ht="17.25" customHeight="1">
      <c r="B70" s="248"/>
      <c r="C70" s="249"/>
      <c r="D70" s="249"/>
      <c r="E70" s="251"/>
      <c r="F70" s="249"/>
      <c r="G70" s="249"/>
      <c r="H70" s="249"/>
      <c r="I70" s="249"/>
      <c r="J70" s="249"/>
      <c r="K70" s="249"/>
      <c r="L70" s="249"/>
      <c r="M70" s="247"/>
    </row>
    <row r="71" spans="2:13" ht="17.25" customHeight="1">
      <c r="B71" s="248"/>
      <c r="C71" s="249"/>
      <c r="D71" s="249"/>
      <c r="E71" s="251"/>
      <c r="F71" s="249"/>
      <c r="G71" s="249"/>
      <c r="H71" s="249"/>
      <c r="I71" s="249"/>
      <c r="K71" s="249"/>
      <c r="L71" s="249"/>
      <c r="M71" s="247"/>
    </row>
    <row r="72" spans="2:13" ht="17.25" customHeight="1">
      <c r="B72" s="248"/>
      <c r="C72" s="249"/>
      <c r="D72" s="249"/>
      <c r="E72" s="251"/>
      <c r="F72" s="249"/>
      <c r="G72" s="249"/>
      <c r="H72" s="249"/>
      <c r="I72" s="249"/>
      <c r="J72" s="249"/>
      <c r="K72" s="249"/>
      <c r="L72" s="249"/>
      <c r="M72" s="247"/>
    </row>
  </sheetData>
  <mergeCells count="5">
    <mergeCell ref="A2:M2"/>
    <mergeCell ref="A3:M3"/>
    <mergeCell ref="A4:M4"/>
    <mergeCell ref="A6:A7"/>
    <mergeCell ref="M6:M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9" firstPageNumber="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7"/>
  <sheetViews>
    <sheetView view="pageBreakPreview" topLeftCell="B1" zoomScaleNormal="100" zoomScaleSheetLayoutView="100" workbookViewId="0">
      <selection activeCell="H38" sqref="H38"/>
    </sheetView>
  </sheetViews>
  <sheetFormatPr defaultColWidth="9.6640625" defaultRowHeight="17.25" customHeight="1"/>
  <cols>
    <col min="1" max="1" width="23.1640625" style="396" customWidth="1"/>
    <col min="2" max="11" width="15.1640625" style="396" customWidth="1"/>
    <col min="12" max="13" width="15.1640625" style="397" customWidth="1"/>
    <col min="14" max="14" width="12" style="396" customWidth="1"/>
    <col min="15" max="15" width="11.6640625" style="396" customWidth="1"/>
    <col min="16" max="16" width="10.1640625" style="396" customWidth="1"/>
    <col min="17" max="16384" width="9.6640625" style="396"/>
  </cols>
  <sheetData>
    <row r="1" spans="1:15" s="375" customFormat="1" ht="17.25" customHeight="1">
      <c r="L1" s="376"/>
      <c r="M1" s="376"/>
    </row>
    <row r="2" spans="1:15" s="375" customFormat="1" ht="17.25" customHeight="1">
      <c r="A2" s="624" t="s">
        <v>163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</row>
    <row r="3" spans="1:15" s="375" customFormat="1" ht="17.25" customHeight="1">
      <c r="A3" s="624" t="s">
        <v>305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</row>
    <row r="4" spans="1:15" s="375" customFormat="1" ht="17.25" customHeight="1">
      <c r="A4" s="624" t="s">
        <v>14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</row>
    <row r="5" spans="1:15" s="375" customFormat="1" ht="17.25" customHeight="1">
      <c r="A5" s="377"/>
      <c r="L5" s="376"/>
      <c r="M5" s="378"/>
    </row>
    <row r="6" spans="1:15" s="375" customFormat="1" ht="17.25" customHeight="1">
      <c r="A6" s="622" t="s">
        <v>37</v>
      </c>
      <c r="B6" s="492" t="s">
        <v>197</v>
      </c>
      <c r="C6" s="491" t="s">
        <v>33</v>
      </c>
      <c r="D6" s="491" t="s">
        <v>46</v>
      </c>
      <c r="E6" s="491" t="s">
        <v>45</v>
      </c>
      <c r="F6" s="491" t="s">
        <v>50</v>
      </c>
      <c r="G6" s="491" t="s">
        <v>44</v>
      </c>
      <c r="H6" s="491" t="s">
        <v>34</v>
      </c>
      <c r="I6" s="491" t="s">
        <v>35</v>
      </c>
      <c r="J6" s="491" t="s">
        <v>76</v>
      </c>
      <c r="K6" s="491" t="s">
        <v>78</v>
      </c>
      <c r="L6" s="491" t="s">
        <v>36</v>
      </c>
      <c r="M6" s="625" t="s">
        <v>0</v>
      </c>
      <c r="N6" s="379"/>
    </row>
    <row r="7" spans="1:15" s="375" customFormat="1" ht="17.25" customHeight="1">
      <c r="A7" s="623"/>
      <c r="B7" s="380" t="s">
        <v>38</v>
      </c>
      <c r="C7" s="381" t="s">
        <v>38</v>
      </c>
      <c r="D7" s="380" t="s">
        <v>38</v>
      </c>
      <c r="E7" s="380" t="s">
        <v>38</v>
      </c>
      <c r="F7" s="380" t="s">
        <v>38</v>
      </c>
      <c r="G7" s="381" t="s">
        <v>38</v>
      </c>
      <c r="H7" s="381" t="s">
        <v>38</v>
      </c>
      <c r="I7" s="381" t="s">
        <v>38</v>
      </c>
      <c r="J7" s="380" t="s">
        <v>38</v>
      </c>
      <c r="K7" s="380" t="s">
        <v>251</v>
      </c>
      <c r="L7" s="382" t="s">
        <v>252</v>
      </c>
      <c r="M7" s="626"/>
      <c r="N7" s="379"/>
    </row>
    <row r="8" spans="1:15" s="375" customFormat="1" ht="17.25" customHeight="1">
      <c r="A8" s="383" t="s">
        <v>29</v>
      </c>
      <c r="B8" s="473">
        <v>0</v>
      </c>
      <c r="C8" s="458">
        <v>30117.95</v>
      </c>
      <c r="D8" s="458">
        <v>1E-4</v>
      </c>
      <c r="E8" s="473">
        <v>0</v>
      </c>
      <c r="F8" s="458">
        <v>0.3</v>
      </c>
      <c r="G8" s="473">
        <v>0</v>
      </c>
      <c r="H8" s="473">
        <v>0</v>
      </c>
      <c r="I8" s="458">
        <v>613.95000000000005</v>
      </c>
      <c r="J8" s="458">
        <v>2026</v>
      </c>
      <c r="K8" s="473">
        <v>0</v>
      </c>
      <c r="L8" s="466">
        <f>1.95</f>
        <v>1.95</v>
      </c>
      <c r="M8" s="467">
        <f>SUM(B8:L8)</f>
        <v>32760.150100000003</v>
      </c>
    </row>
    <row r="9" spans="1:15" s="375" customFormat="1" ht="17.25" customHeight="1">
      <c r="A9" s="384" t="s">
        <v>1</v>
      </c>
      <c r="B9" s="458">
        <v>118.7</v>
      </c>
      <c r="C9" s="458">
        <v>18471.2</v>
      </c>
      <c r="D9" s="458">
        <v>57.5</v>
      </c>
      <c r="E9" s="458">
        <v>16.7</v>
      </c>
      <c r="F9" s="473">
        <v>0</v>
      </c>
      <c r="G9" s="458">
        <v>0.5</v>
      </c>
      <c r="H9" s="473">
        <v>0</v>
      </c>
      <c r="I9" s="458">
        <v>223</v>
      </c>
      <c r="J9" s="458">
        <v>1084.3</v>
      </c>
      <c r="K9" s="458">
        <f>0.9+19.9</f>
        <v>20.799999999999997</v>
      </c>
      <c r="L9" s="473">
        <v>0</v>
      </c>
      <c r="M9" s="468">
        <f t="shared" ref="M9:M26" si="0">SUM(B9:L9)</f>
        <v>19992.7</v>
      </c>
      <c r="N9" s="379"/>
      <c r="O9" s="385"/>
    </row>
    <row r="10" spans="1:15" s="375" customFormat="1" ht="17.25" customHeight="1">
      <c r="A10" s="384" t="s">
        <v>39</v>
      </c>
      <c r="B10" s="469">
        <v>5584</v>
      </c>
      <c r="C10" s="473">
        <v>0</v>
      </c>
      <c r="D10" s="469">
        <v>991</v>
      </c>
      <c r="E10" s="473">
        <v>0</v>
      </c>
      <c r="F10" s="458">
        <v>20.9</v>
      </c>
      <c r="G10" s="458">
        <v>118.75</v>
      </c>
      <c r="H10" s="458">
        <v>22.46</v>
      </c>
      <c r="I10" s="473">
        <v>0</v>
      </c>
      <c r="J10" s="473">
        <v>0</v>
      </c>
      <c r="K10" s="461">
        <f>32.35</f>
        <v>32.35</v>
      </c>
      <c r="L10" s="461">
        <f>12.5+0.8+0.18+39.5</f>
        <v>52.980000000000004</v>
      </c>
      <c r="M10" s="468">
        <f t="shared" si="0"/>
        <v>6822.44</v>
      </c>
      <c r="N10" s="379"/>
      <c r="O10" s="385"/>
    </row>
    <row r="11" spans="1:15" s="375" customFormat="1" ht="17.25" customHeight="1">
      <c r="A11" s="384" t="s">
        <v>211</v>
      </c>
      <c r="B11" s="470">
        <v>374.8</v>
      </c>
      <c r="C11" s="470">
        <v>5.8</v>
      </c>
      <c r="D11" s="470">
        <v>6106.9</v>
      </c>
      <c r="E11" s="470">
        <v>150.9</v>
      </c>
      <c r="F11" s="473">
        <v>0</v>
      </c>
      <c r="G11" s="473">
        <v>0</v>
      </c>
      <c r="H11" s="473">
        <v>0</v>
      </c>
      <c r="I11" s="473">
        <v>0</v>
      </c>
      <c r="J11" s="473">
        <v>0</v>
      </c>
      <c r="K11" s="470">
        <f>11.6+1.2</f>
        <v>12.799999999999999</v>
      </c>
      <c r="L11" s="470">
        <f>15.4+10.9+0.4</f>
        <v>26.7</v>
      </c>
      <c r="M11" s="468">
        <f t="shared" si="0"/>
        <v>6677.9</v>
      </c>
      <c r="N11" s="379"/>
      <c r="O11" s="385"/>
    </row>
    <row r="12" spans="1:15" s="375" customFormat="1" ht="17.25" customHeight="1">
      <c r="A12" s="387" t="s">
        <v>41</v>
      </c>
      <c r="B12" s="458">
        <v>166</v>
      </c>
      <c r="C12" s="473">
        <v>0</v>
      </c>
      <c r="D12" s="458">
        <v>0.6</v>
      </c>
      <c r="E12" s="458">
        <v>3205</v>
      </c>
      <c r="F12" s="473">
        <v>0</v>
      </c>
      <c r="G12" s="473">
        <v>0</v>
      </c>
      <c r="H12" s="473">
        <v>0</v>
      </c>
      <c r="I12" s="458">
        <v>0.7</v>
      </c>
      <c r="J12" s="473">
        <v>0</v>
      </c>
      <c r="K12" s="458">
        <f>28+1.8</f>
        <v>29.8</v>
      </c>
      <c r="L12" s="458">
        <f>1.6+36.3+6.7+197</f>
        <v>241.6</v>
      </c>
      <c r="M12" s="468">
        <f t="shared" si="0"/>
        <v>3643.7</v>
      </c>
      <c r="N12" s="379"/>
      <c r="O12" s="385"/>
    </row>
    <row r="13" spans="1:15" s="375" customFormat="1" ht="17.25" customHeight="1">
      <c r="A13" s="384" t="s">
        <v>47</v>
      </c>
      <c r="B13" s="458">
        <v>930</v>
      </c>
      <c r="C13" s="458">
        <v>107</v>
      </c>
      <c r="D13" s="458">
        <v>720</v>
      </c>
      <c r="E13" s="458">
        <v>250</v>
      </c>
      <c r="F13" s="473">
        <v>0</v>
      </c>
      <c r="G13" s="458">
        <v>3</v>
      </c>
      <c r="H13" s="458">
        <v>730</v>
      </c>
      <c r="I13" s="458">
        <v>35</v>
      </c>
      <c r="J13" s="458">
        <v>6</v>
      </c>
      <c r="K13" s="458">
        <f>1+60+43+2</f>
        <v>106</v>
      </c>
      <c r="L13" s="458">
        <f>30+130+26+182</f>
        <v>368</v>
      </c>
      <c r="M13" s="468">
        <f>SUM(B13:L13)</f>
        <v>3255</v>
      </c>
      <c r="N13" s="379"/>
      <c r="O13" s="385"/>
    </row>
    <row r="14" spans="1:15" s="375" customFormat="1" ht="17.25" customHeight="1">
      <c r="A14" s="384" t="s">
        <v>208</v>
      </c>
      <c r="B14" s="463">
        <v>960</v>
      </c>
      <c r="C14" s="463">
        <v>77.599999999999994</v>
      </c>
      <c r="D14" s="463">
        <v>57.2</v>
      </c>
      <c r="E14" s="463">
        <v>101</v>
      </c>
      <c r="F14" s="458">
        <v>39.9</v>
      </c>
      <c r="G14" s="463">
        <v>4.5</v>
      </c>
      <c r="H14" s="458">
        <v>14.1</v>
      </c>
      <c r="I14" s="463">
        <v>19.100000000000001</v>
      </c>
      <c r="J14" s="463">
        <v>22.4</v>
      </c>
      <c r="K14" s="463">
        <f>2.4+263.9+5.2+4.8</f>
        <v>276.29999999999995</v>
      </c>
      <c r="L14" s="464">
        <f>28.7+37.7+90+718.3</f>
        <v>874.69999999999993</v>
      </c>
      <c r="M14" s="468">
        <f>SUM(B14:L14)</f>
        <v>2446.7999999999997</v>
      </c>
      <c r="N14" s="379"/>
      <c r="O14" s="385"/>
    </row>
    <row r="15" spans="1:15" s="375" customFormat="1" ht="17.25" customHeight="1">
      <c r="A15" s="387" t="s">
        <v>214</v>
      </c>
      <c r="B15" s="461">
        <v>601.29999999999995</v>
      </c>
      <c r="C15" s="473">
        <v>0</v>
      </c>
      <c r="D15" s="461">
        <v>3097</v>
      </c>
      <c r="E15" s="461">
        <v>666</v>
      </c>
      <c r="F15" s="473">
        <v>0</v>
      </c>
      <c r="G15" s="473">
        <v>0</v>
      </c>
      <c r="H15" s="473">
        <v>0</v>
      </c>
      <c r="I15" s="461">
        <v>1.7</v>
      </c>
      <c r="J15" s="473">
        <v>0</v>
      </c>
      <c r="K15" s="461">
        <f>3.7+28.6</f>
        <v>32.300000000000004</v>
      </c>
      <c r="L15" s="458">
        <f>2.2+10.5+0.7</f>
        <v>13.399999999999999</v>
      </c>
      <c r="M15" s="468">
        <f>SUM(B15:L15)</f>
        <v>4411.7</v>
      </c>
      <c r="N15" s="379"/>
      <c r="O15" s="385"/>
    </row>
    <row r="16" spans="1:15" s="375" customFormat="1" ht="17.25" customHeight="1">
      <c r="A16" s="387" t="s">
        <v>211</v>
      </c>
      <c r="B16" s="458">
        <v>375</v>
      </c>
      <c r="C16" s="458">
        <v>5.8</v>
      </c>
      <c r="D16" s="458">
        <v>6107</v>
      </c>
      <c r="E16" s="458">
        <v>151</v>
      </c>
      <c r="F16" s="473">
        <v>0</v>
      </c>
      <c r="G16" s="473">
        <v>0</v>
      </c>
      <c r="H16" s="473">
        <v>0</v>
      </c>
      <c r="I16" s="473">
        <v>0</v>
      </c>
      <c r="J16" s="473">
        <v>0</v>
      </c>
      <c r="K16" s="458">
        <f>11.6+1.2</f>
        <v>12.799999999999999</v>
      </c>
      <c r="L16" s="458">
        <f>15.4+10.9+0.4</f>
        <v>26.7</v>
      </c>
      <c r="M16" s="468">
        <f>SUM(B16:L16)</f>
        <v>6678.3</v>
      </c>
      <c r="N16" s="379"/>
      <c r="O16" s="385"/>
    </row>
    <row r="17" spans="1:15" s="375" customFormat="1" ht="17.25" customHeight="1">
      <c r="A17" s="384" t="s">
        <v>26</v>
      </c>
      <c r="B17" s="458">
        <v>1041</v>
      </c>
      <c r="C17" s="458">
        <v>16.899999999999999</v>
      </c>
      <c r="D17" s="473">
        <v>0</v>
      </c>
      <c r="E17" s="458">
        <v>0.3</v>
      </c>
      <c r="F17" s="458">
        <v>3</v>
      </c>
      <c r="G17" s="458">
        <v>48.1</v>
      </c>
      <c r="H17" s="473">
        <v>0</v>
      </c>
      <c r="I17" s="473">
        <v>0</v>
      </c>
      <c r="J17" s="473">
        <v>0</v>
      </c>
      <c r="K17" s="458">
        <f>16.2+0.5</f>
        <v>16.7</v>
      </c>
      <c r="L17" s="458">
        <f>0.3+11.3</f>
        <v>11.600000000000001</v>
      </c>
      <c r="M17" s="468">
        <f t="shared" si="0"/>
        <v>1137.5999999999999</v>
      </c>
      <c r="N17" s="379"/>
      <c r="O17" s="385"/>
    </row>
    <row r="18" spans="1:15" s="375" customFormat="1" ht="17.25" customHeight="1">
      <c r="A18" s="450" t="s">
        <v>43</v>
      </c>
      <c r="B18" s="461">
        <v>0.2</v>
      </c>
      <c r="C18" s="458">
        <v>50</v>
      </c>
      <c r="D18" s="473">
        <v>0</v>
      </c>
      <c r="E18" s="473">
        <v>0</v>
      </c>
      <c r="F18" s="473">
        <v>0</v>
      </c>
      <c r="G18" s="473">
        <v>0</v>
      </c>
      <c r="H18" s="473">
        <v>0</v>
      </c>
      <c r="I18" s="458">
        <v>1142</v>
      </c>
      <c r="J18" s="458">
        <v>4.8</v>
      </c>
      <c r="K18" s="473">
        <v>0</v>
      </c>
      <c r="L18" s="473">
        <v>0</v>
      </c>
      <c r="M18" s="468">
        <f t="shared" si="0"/>
        <v>1197</v>
      </c>
      <c r="N18" s="379"/>
      <c r="O18" s="385"/>
    </row>
    <row r="19" spans="1:15" s="375" customFormat="1" ht="17.25" customHeight="1">
      <c r="A19" s="387" t="s">
        <v>125</v>
      </c>
      <c r="B19" s="458">
        <v>652.5</v>
      </c>
      <c r="C19" s="473">
        <v>0</v>
      </c>
      <c r="D19" s="458">
        <v>1.8</v>
      </c>
      <c r="E19" s="458">
        <v>19.899999999999999</v>
      </c>
      <c r="F19" s="473">
        <v>0</v>
      </c>
      <c r="G19" s="473">
        <v>0</v>
      </c>
      <c r="H19" s="473">
        <v>0</v>
      </c>
      <c r="I19" s="473">
        <v>0</v>
      </c>
      <c r="J19" s="473">
        <v>0</v>
      </c>
      <c r="K19" s="473">
        <v>0</v>
      </c>
      <c r="L19" s="458">
        <v>42.5</v>
      </c>
      <c r="M19" s="468">
        <f t="shared" si="0"/>
        <v>716.69999999999993</v>
      </c>
      <c r="N19" s="379"/>
      <c r="O19" s="385"/>
    </row>
    <row r="20" spans="1:15" s="375" customFormat="1" ht="17.25" customHeight="1">
      <c r="A20" s="451" t="s">
        <v>124</v>
      </c>
      <c r="B20" s="458">
        <v>18.5</v>
      </c>
      <c r="C20" s="458">
        <v>252.6</v>
      </c>
      <c r="D20" s="458">
        <v>19</v>
      </c>
      <c r="E20" s="458">
        <v>311</v>
      </c>
      <c r="F20" s="473">
        <v>0</v>
      </c>
      <c r="G20" s="473">
        <v>0</v>
      </c>
      <c r="H20" s="473">
        <v>0</v>
      </c>
      <c r="I20" s="473">
        <v>0</v>
      </c>
      <c r="J20" s="473">
        <v>0</v>
      </c>
      <c r="K20" s="458">
        <v>15.5</v>
      </c>
      <c r="L20" s="458">
        <v>7</v>
      </c>
      <c r="M20" s="468">
        <f t="shared" si="0"/>
        <v>623.6</v>
      </c>
      <c r="N20" s="379"/>
      <c r="O20" s="385"/>
    </row>
    <row r="21" spans="1:15" s="375" customFormat="1" ht="17.25" customHeight="1">
      <c r="A21" s="452" t="s">
        <v>23</v>
      </c>
      <c r="B21" s="463">
        <v>116.7</v>
      </c>
      <c r="C21" s="473">
        <v>0</v>
      </c>
      <c r="D21" s="463">
        <v>463</v>
      </c>
      <c r="E21" s="463">
        <v>1</v>
      </c>
      <c r="F21" s="463">
        <v>10</v>
      </c>
      <c r="G21" s="473">
        <v>0</v>
      </c>
      <c r="H21" s="463">
        <v>55.1</v>
      </c>
      <c r="I21" s="473">
        <v>0</v>
      </c>
      <c r="J21" s="473">
        <v>0</v>
      </c>
      <c r="K21" s="463">
        <f>49.5+7.7</f>
        <v>57.2</v>
      </c>
      <c r="L21" s="463">
        <f>7.3+0.8</f>
        <v>8.1</v>
      </c>
      <c r="M21" s="468">
        <f t="shared" si="0"/>
        <v>711.10000000000014</v>
      </c>
      <c r="N21" s="379"/>
      <c r="O21" s="385"/>
    </row>
    <row r="22" spans="1:15" s="375" customFormat="1" ht="17.25" customHeight="1">
      <c r="A22" s="387" t="s">
        <v>40</v>
      </c>
      <c r="B22" s="461">
        <v>1.3</v>
      </c>
      <c r="C22" s="473">
        <v>0</v>
      </c>
      <c r="D22" s="461">
        <v>1.6</v>
      </c>
      <c r="E22" s="461">
        <v>164.3</v>
      </c>
      <c r="F22" s="473">
        <v>0</v>
      </c>
      <c r="G22" s="461">
        <v>0.3</v>
      </c>
      <c r="H22" s="458">
        <v>2.8</v>
      </c>
      <c r="I22" s="473">
        <v>0</v>
      </c>
      <c r="J22" s="473">
        <v>0</v>
      </c>
      <c r="K22" s="473">
        <v>0</v>
      </c>
      <c r="L22" s="464">
        <f>13.9+2+412.4</f>
        <v>428.29999999999995</v>
      </c>
      <c r="M22" s="468">
        <f t="shared" si="0"/>
        <v>598.6</v>
      </c>
      <c r="N22" s="386"/>
      <c r="O22" s="385"/>
    </row>
    <row r="23" spans="1:15" s="375" customFormat="1" ht="17.25" customHeight="1">
      <c r="A23" s="387" t="s">
        <v>31</v>
      </c>
      <c r="B23" s="473">
        <v>0</v>
      </c>
      <c r="C23" s="458">
        <v>571</v>
      </c>
      <c r="D23" s="473">
        <v>0</v>
      </c>
      <c r="E23" s="473">
        <v>0</v>
      </c>
      <c r="F23" s="473">
        <v>0</v>
      </c>
      <c r="G23" s="473">
        <v>0</v>
      </c>
      <c r="H23" s="473">
        <v>0</v>
      </c>
      <c r="I23" s="458">
        <v>19</v>
      </c>
      <c r="J23" s="458">
        <v>63</v>
      </c>
      <c r="K23" s="473">
        <v>0</v>
      </c>
      <c r="L23" s="473">
        <v>0</v>
      </c>
      <c r="M23" s="468">
        <f t="shared" si="0"/>
        <v>653</v>
      </c>
      <c r="O23" s="385"/>
    </row>
    <row r="24" spans="1:15" s="375" customFormat="1" ht="17.25" customHeight="1">
      <c r="A24" s="387" t="s">
        <v>18</v>
      </c>
      <c r="B24" s="463">
        <v>9.1999999999999993</v>
      </c>
      <c r="C24" s="473">
        <v>0</v>
      </c>
      <c r="D24" s="463">
        <v>4.5</v>
      </c>
      <c r="E24" s="463">
        <v>4</v>
      </c>
      <c r="F24" s="473">
        <v>0</v>
      </c>
      <c r="G24" s="463">
        <v>21.1</v>
      </c>
      <c r="H24" s="473">
        <v>0</v>
      </c>
      <c r="I24" s="463">
        <v>7.8</v>
      </c>
      <c r="J24" s="463">
        <v>1.8</v>
      </c>
      <c r="K24" s="463">
        <f>0.3+547.1</f>
        <v>547.4</v>
      </c>
      <c r="L24" s="463">
        <f>2.4+25.8</f>
        <v>28.2</v>
      </c>
      <c r="M24" s="468">
        <f t="shared" si="0"/>
        <v>624</v>
      </c>
      <c r="N24" s="379"/>
      <c r="O24" s="385"/>
    </row>
    <row r="25" spans="1:15" s="375" customFormat="1" ht="17.25" customHeight="1">
      <c r="A25" s="387" t="s">
        <v>193</v>
      </c>
      <c r="B25" s="458">
        <v>12.9</v>
      </c>
      <c r="C25" s="458">
        <v>812</v>
      </c>
      <c r="D25" s="458">
        <v>1.8</v>
      </c>
      <c r="E25" s="473">
        <v>0</v>
      </c>
      <c r="F25" s="473">
        <v>0</v>
      </c>
      <c r="G25" s="473">
        <v>0</v>
      </c>
      <c r="H25" s="473">
        <v>0</v>
      </c>
      <c r="I25" s="473">
        <v>0</v>
      </c>
      <c r="J25" s="458">
        <v>78</v>
      </c>
      <c r="K25" s="473">
        <v>0</v>
      </c>
      <c r="L25" s="473">
        <v>0</v>
      </c>
      <c r="M25" s="468">
        <f t="shared" si="0"/>
        <v>904.69999999999993</v>
      </c>
      <c r="N25" s="379"/>
      <c r="O25" s="385"/>
    </row>
    <row r="26" spans="1:15" s="375" customFormat="1" ht="17.25" customHeight="1">
      <c r="A26" s="387" t="s">
        <v>238</v>
      </c>
      <c r="B26" s="458">
        <v>393.5</v>
      </c>
      <c r="C26" s="473">
        <v>0</v>
      </c>
      <c r="D26" s="458">
        <v>54.7</v>
      </c>
      <c r="E26" s="473">
        <v>0</v>
      </c>
      <c r="F26" s="473">
        <v>0</v>
      </c>
      <c r="G26" s="473">
        <v>0</v>
      </c>
      <c r="H26" s="473">
        <v>0</v>
      </c>
      <c r="I26" s="473">
        <v>0</v>
      </c>
      <c r="J26" s="473">
        <v>0</v>
      </c>
      <c r="K26" s="473">
        <v>0</v>
      </c>
      <c r="L26" s="473">
        <v>0</v>
      </c>
      <c r="M26" s="468">
        <f t="shared" si="0"/>
        <v>448.2</v>
      </c>
      <c r="N26" s="379"/>
      <c r="O26" s="385"/>
    </row>
    <row r="27" spans="1:15" s="375" customFormat="1" ht="17.25" customHeight="1">
      <c r="A27" s="388" t="s">
        <v>15</v>
      </c>
      <c r="B27" s="458">
        <f t="shared" ref="B27:C27" si="1">SUM(B28-B8-B9-B10-B11-B12-B13-B14-B15-B16-B17-B18-B19-B20-B21-B22-B23-B24-B25-B26)</f>
        <v>887.39999999999895</v>
      </c>
      <c r="C27" s="458">
        <f t="shared" si="1"/>
        <v>4479.1499999999978</v>
      </c>
      <c r="D27" s="458">
        <f>SUM(D28-D8-D9-D10-D11-D12-D13-D14-D15-D16-D17-D18-D19-D20-D21-D22-D23-D24-D25-D26)</f>
        <v>-5334.6000999999997</v>
      </c>
      <c r="E27" s="458">
        <f t="shared" ref="E27:J27" si="2">SUM(E28-E8-E9-E10-E11-E12-E13-E14-E15-E16-E17-E18-E19-E20-E21-E22-E23-E24-E25-E26)</f>
        <v>466.9000000000006</v>
      </c>
      <c r="F27" s="458">
        <f t="shared" si="2"/>
        <v>85.899999999999977</v>
      </c>
      <c r="G27" s="458">
        <f t="shared" si="2"/>
        <v>143.75</v>
      </c>
      <c r="H27" s="458">
        <f t="shared" si="2"/>
        <v>405.53999999999991</v>
      </c>
      <c r="I27" s="458">
        <f t="shared" si="2"/>
        <v>93.749999999999957</v>
      </c>
      <c r="J27" s="458">
        <f t="shared" si="2"/>
        <v>363.70000000000005</v>
      </c>
      <c r="K27" s="458">
        <f>SUM(K28-K8-K9-K10-K11-K12-K13-K14-K15-K16-K17-K18-K19-K20-K21-K22-K23-K24-K25-K26)</f>
        <v>260.0500000000003</v>
      </c>
      <c r="L27" s="458">
        <f t="shared" ref="L27:M27" si="3">SUM(L28-L8-L9-L10-L11-L12-L13-L14-L15-L16-L17-L18-L19-L20-L21-L22-L23-L24-L25-L26)</f>
        <v>1998.2700000000009</v>
      </c>
      <c r="M27" s="458">
        <f t="shared" si="3"/>
        <v>3849.8098999999984</v>
      </c>
      <c r="N27" s="379"/>
      <c r="O27" s="385"/>
    </row>
    <row r="28" spans="1:15" s="391" customFormat="1" ht="17.25" customHeight="1">
      <c r="A28" s="389" t="s">
        <v>0</v>
      </c>
      <c r="B28" s="471">
        <v>12243</v>
      </c>
      <c r="C28" s="471">
        <v>54967</v>
      </c>
      <c r="D28" s="471">
        <v>12349</v>
      </c>
      <c r="E28" s="471">
        <v>5508</v>
      </c>
      <c r="F28" s="471">
        <v>160</v>
      </c>
      <c r="G28" s="471">
        <v>340</v>
      </c>
      <c r="H28" s="471">
        <v>1230</v>
      </c>
      <c r="I28" s="471">
        <v>2156</v>
      </c>
      <c r="J28" s="471">
        <v>3650</v>
      </c>
      <c r="K28" s="471">
        <v>1420</v>
      </c>
      <c r="L28" s="471">
        <v>4130</v>
      </c>
      <c r="M28" s="471">
        <f>SUM(B28:L28)</f>
        <v>98153</v>
      </c>
      <c r="N28" s="390"/>
      <c r="O28" s="385"/>
    </row>
    <row r="29" spans="1:15" s="184" customFormat="1" ht="17.25" customHeight="1">
      <c r="A29" s="150" t="s">
        <v>325</v>
      </c>
      <c r="C29" s="207"/>
      <c r="D29" s="207"/>
      <c r="E29" s="207"/>
      <c r="F29" s="207"/>
      <c r="G29" s="207"/>
      <c r="M29" s="449"/>
    </row>
    <row r="30" spans="1:15" s="375" customFormat="1" ht="17.25" customHeight="1">
      <c r="A30" s="184" t="s">
        <v>326</v>
      </c>
      <c r="B30" s="207"/>
      <c r="C30" s="207"/>
      <c r="D30" s="207"/>
      <c r="E30" s="393"/>
      <c r="F30" s="376"/>
      <c r="G30" s="376"/>
      <c r="H30" s="376"/>
      <c r="I30" s="376"/>
      <c r="J30" s="376"/>
      <c r="K30" s="376"/>
      <c r="L30" s="376"/>
      <c r="M30" s="394"/>
    </row>
    <row r="31" spans="1:15" s="375" customFormat="1" ht="17.25" customHeight="1">
      <c r="A31" s="184" t="s">
        <v>312</v>
      </c>
      <c r="B31" s="207"/>
      <c r="C31" s="267"/>
      <c r="D31" s="158"/>
      <c r="E31" s="395"/>
      <c r="F31" s="395"/>
      <c r="G31" s="395"/>
      <c r="H31" s="395"/>
      <c r="I31" s="395"/>
      <c r="J31" s="395"/>
      <c r="K31" s="395"/>
      <c r="L31" s="376"/>
      <c r="M31" s="376"/>
      <c r="N31" s="395"/>
    </row>
    <row r="32" spans="1:15" s="375" customFormat="1" ht="17.25" customHeight="1">
      <c r="B32" s="395"/>
      <c r="C32" s="395"/>
      <c r="E32" s="395"/>
      <c r="F32" s="395"/>
      <c r="G32" s="395"/>
      <c r="H32" s="395"/>
      <c r="I32" s="395"/>
      <c r="J32" s="395"/>
      <c r="K32" s="395"/>
      <c r="L32" s="376"/>
      <c r="M32" s="376"/>
      <c r="N32" s="395"/>
    </row>
    <row r="33" spans="1:13" ht="17.25" customHeight="1">
      <c r="A33" s="399"/>
      <c r="B33" s="400"/>
      <c r="C33" s="400"/>
      <c r="D33" s="400"/>
      <c r="E33" s="400"/>
      <c r="F33" s="400"/>
      <c r="G33" s="400"/>
      <c r="H33" s="400"/>
      <c r="I33" s="400"/>
      <c r="J33" s="400"/>
      <c r="K33" s="400"/>
    </row>
    <row r="34" spans="1:13" ht="17.25" customHeight="1"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1"/>
      <c r="M34" s="401"/>
    </row>
    <row r="35" spans="1:13" ht="17.25" customHeight="1">
      <c r="A35" s="402"/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</row>
    <row r="36" spans="1:13" ht="17.25" customHeight="1"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1"/>
      <c r="M36" s="401"/>
    </row>
    <row r="37" spans="1:13" ht="17.25" customHeight="1">
      <c r="A37" s="403"/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5"/>
      <c r="M37" s="405"/>
    </row>
    <row r="38" spans="1:13" ht="17.25" customHeight="1"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1"/>
      <c r="M38" s="401"/>
    </row>
    <row r="39" spans="1:13" ht="17.25" customHeight="1"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1"/>
      <c r="M39" s="401"/>
    </row>
    <row r="40" spans="1:13" ht="17.25" customHeight="1">
      <c r="A40" s="403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5"/>
      <c r="M40" s="405"/>
    </row>
    <row r="41" spans="1:13" ht="17.25" customHeight="1">
      <c r="A41" s="406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407"/>
      <c r="M41" s="407"/>
    </row>
    <row r="42" spans="1:13" ht="17.25" customHeight="1">
      <c r="A42" s="408"/>
      <c r="B42" s="408"/>
      <c r="C42" s="406"/>
      <c r="D42" s="406"/>
      <c r="E42" s="408"/>
      <c r="F42" s="408"/>
      <c r="G42" s="408"/>
      <c r="H42" s="406"/>
      <c r="I42" s="408"/>
      <c r="J42" s="408"/>
      <c r="K42" s="408"/>
      <c r="L42" s="409"/>
      <c r="M42" s="409"/>
    </row>
    <row r="43" spans="1:13" ht="17.25" customHeight="1">
      <c r="A43" s="408"/>
      <c r="B43" s="408"/>
      <c r="C43" s="406"/>
      <c r="D43" s="406"/>
      <c r="E43" s="408"/>
      <c r="F43" s="408"/>
      <c r="G43" s="408"/>
      <c r="H43" s="406"/>
      <c r="I43" s="408"/>
      <c r="J43" s="408"/>
      <c r="K43" s="408"/>
      <c r="L43" s="409"/>
      <c r="M43" s="409"/>
    </row>
    <row r="44" spans="1:13" ht="17.25" customHeight="1">
      <c r="A44" s="408"/>
      <c r="B44" s="408"/>
      <c r="C44" s="406"/>
      <c r="D44" s="406"/>
      <c r="E44" s="408"/>
      <c r="F44" s="408"/>
      <c r="G44" s="408"/>
      <c r="H44" s="406"/>
      <c r="I44" s="408"/>
      <c r="J44" s="408"/>
      <c r="K44" s="408"/>
      <c r="L44" s="409"/>
      <c r="M44" s="409"/>
    </row>
    <row r="45" spans="1:13" ht="17.25" customHeight="1">
      <c r="A45" s="408"/>
      <c r="B45" s="408"/>
      <c r="C45" s="408"/>
      <c r="D45" s="408"/>
      <c r="E45" s="408"/>
      <c r="F45" s="408"/>
      <c r="G45" s="408"/>
      <c r="H45" s="408"/>
      <c r="I45" s="408"/>
      <c r="J45" s="408"/>
      <c r="K45" s="408"/>
      <c r="L45" s="409"/>
      <c r="M45" s="409"/>
    </row>
    <row r="46" spans="1:13" ht="17.25" customHeight="1">
      <c r="A46" s="408"/>
      <c r="B46" s="408"/>
      <c r="C46" s="408"/>
      <c r="D46" s="408"/>
      <c r="E46" s="408"/>
      <c r="F46" s="408"/>
      <c r="G46" s="408"/>
      <c r="H46" s="408"/>
      <c r="I46" s="408"/>
      <c r="J46" s="408"/>
      <c r="K46" s="408"/>
      <c r="L46" s="409"/>
      <c r="M46" s="409"/>
    </row>
    <row r="47" spans="1:13" ht="17.25" customHeight="1">
      <c r="A47" s="408"/>
      <c r="B47" s="408"/>
      <c r="C47" s="408"/>
      <c r="D47" s="408"/>
      <c r="E47" s="408"/>
      <c r="F47" s="408"/>
      <c r="G47" s="408"/>
      <c r="H47" s="408"/>
      <c r="I47" s="408"/>
      <c r="J47" s="408"/>
      <c r="K47" s="408"/>
      <c r="L47" s="409"/>
      <c r="M47" s="409"/>
    </row>
    <row r="48" spans="1:13" ht="17.25" customHeight="1">
      <c r="A48" s="408"/>
      <c r="B48" s="408"/>
      <c r="C48" s="408"/>
      <c r="D48" s="408"/>
      <c r="E48" s="410"/>
      <c r="F48" s="408"/>
      <c r="G48" s="408"/>
      <c r="H48" s="408"/>
      <c r="I48" s="408"/>
      <c r="J48" s="408"/>
      <c r="K48" s="408"/>
      <c r="L48" s="409"/>
      <c r="M48" s="409"/>
    </row>
    <row r="49" spans="1:13" ht="17.25" customHeight="1">
      <c r="A49" s="408"/>
      <c r="B49" s="411"/>
      <c r="C49" s="411"/>
      <c r="D49" s="411"/>
      <c r="E49" s="411"/>
      <c r="F49" s="411"/>
      <c r="G49" s="411"/>
      <c r="H49" s="411"/>
      <c r="I49" s="411"/>
      <c r="J49" s="412"/>
      <c r="K49" s="411"/>
      <c r="L49" s="413"/>
      <c r="M49" s="414"/>
    </row>
    <row r="50" spans="1:13" ht="17.25" customHeight="1">
      <c r="A50" s="408"/>
      <c r="B50" s="415"/>
      <c r="C50" s="408"/>
      <c r="D50" s="415"/>
      <c r="E50" s="415"/>
      <c r="F50" s="415"/>
      <c r="G50" s="408"/>
      <c r="H50" s="408"/>
      <c r="I50" s="408"/>
      <c r="J50" s="415"/>
      <c r="K50" s="408"/>
      <c r="L50" s="409"/>
      <c r="M50" s="409"/>
    </row>
    <row r="51" spans="1:13" ht="17.25" customHeight="1">
      <c r="A51" s="406"/>
      <c r="B51" s="406"/>
      <c r="C51" s="406"/>
      <c r="D51" s="406"/>
      <c r="E51" s="406"/>
      <c r="F51" s="406"/>
      <c r="G51" s="406"/>
      <c r="H51" s="406"/>
      <c r="I51" s="406"/>
      <c r="J51" s="406"/>
      <c r="K51" s="406"/>
      <c r="L51" s="416"/>
      <c r="M51" s="416"/>
    </row>
    <row r="52" spans="1:13" ht="17.25" customHeight="1">
      <c r="A52" s="406"/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407"/>
      <c r="M52" s="407"/>
    </row>
    <row r="53" spans="1:13" ht="17.25" customHeight="1">
      <c r="A53" s="406"/>
      <c r="B53" s="398"/>
      <c r="C53" s="398"/>
      <c r="D53" s="398"/>
      <c r="E53" s="398"/>
      <c r="F53" s="398"/>
      <c r="G53" s="398"/>
      <c r="H53" s="398"/>
      <c r="I53" s="398"/>
      <c r="J53" s="398"/>
      <c r="K53" s="398"/>
      <c r="L53" s="407"/>
      <c r="M53" s="407"/>
    </row>
    <row r="54" spans="1:13" ht="17.25" customHeight="1">
      <c r="A54" s="406"/>
      <c r="B54" s="398"/>
      <c r="C54" s="398"/>
      <c r="D54" s="398"/>
      <c r="E54" s="398"/>
      <c r="F54" s="398"/>
      <c r="G54" s="398"/>
      <c r="H54" s="398"/>
      <c r="I54" s="398"/>
      <c r="J54" s="398"/>
      <c r="K54" s="398"/>
      <c r="L54" s="407"/>
      <c r="M54" s="407"/>
    </row>
    <row r="55" spans="1:13" ht="17.25" customHeight="1">
      <c r="A55" s="406"/>
      <c r="B55" s="398"/>
      <c r="C55" s="398"/>
      <c r="D55" s="398"/>
      <c r="E55" s="398"/>
      <c r="F55" s="398"/>
      <c r="G55" s="398"/>
      <c r="H55" s="398"/>
      <c r="I55" s="398"/>
      <c r="J55" s="398"/>
      <c r="K55" s="398"/>
      <c r="L55" s="407"/>
      <c r="M55" s="407"/>
    </row>
    <row r="56" spans="1:13" ht="17.25" customHeight="1">
      <c r="A56" s="406"/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407"/>
      <c r="M56" s="407"/>
    </row>
    <row r="57" spans="1:13" ht="17.25" customHeight="1">
      <c r="A57" s="406"/>
      <c r="B57" s="398"/>
      <c r="C57" s="398"/>
      <c r="D57" s="417"/>
      <c r="E57" s="398"/>
      <c r="F57" s="398"/>
      <c r="G57" s="398"/>
      <c r="H57" s="398"/>
      <c r="I57" s="398"/>
      <c r="J57" s="398"/>
      <c r="K57" s="398"/>
      <c r="L57" s="407"/>
      <c r="M57" s="407"/>
    </row>
    <row r="58" spans="1:13" ht="17.25" customHeight="1">
      <c r="A58" s="406"/>
      <c r="B58" s="398"/>
      <c r="C58" s="398"/>
      <c r="D58" s="398"/>
      <c r="E58" s="398"/>
      <c r="F58" s="398"/>
      <c r="G58" s="398"/>
      <c r="H58" s="398"/>
      <c r="I58" s="398"/>
      <c r="J58" s="398"/>
      <c r="K58" s="417"/>
      <c r="L58" s="407"/>
      <c r="M58" s="407"/>
    </row>
    <row r="59" spans="1:13" ht="17.25" customHeight="1">
      <c r="A59" s="406"/>
      <c r="B59" s="398"/>
      <c r="C59" s="398"/>
      <c r="D59" s="417"/>
      <c r="E59" s="398"/>
      <c r="F59" s="398"/>
      <c r="G59" s="398"/>
      <c r="H59" s="398"/>
      <c r="I59" s="398"/>
      <c r="J59" s="398"/>
      <c r="K59" s="398"/>
      <c r="L59" s="407"/>
      <c r="M59" s="407"/>
    </row>
    <row r="60" spans="1:13" ht="17.25" customHeight="1">
      <c r="A60" s="406"/>
      <c r="B60" s="398"/>
      <c r="C60" s="398"/>
      <c r="D60" s="398"/>
      <c r="E60" s="398"/>
      <c r="F60" s="398"/>
      <c r="G60" s="398"/>
      <c r="H60" s="398"/>
      <c r="I60" s="398"/>
      <c r="J60" s="398"/>
      <c r="K60" s="398"/>
      <c r="L60" s="407"/>
      <c r="M60" s="407"/>
    </row>
    <row r="61" spans="1:13" ht="17.25" customHeight="1">
      <c r="A61" s="406"/>
      <c r="B61" s="417"/>
      <c r="C61" s="398"/>
      <c r="D61" s="398"/>
      <c r="E61" s="398"/>
      <c r="F61" s="398"/>
      <c r="G61" s="398"/>
      <c r="H61" s="398"/>
      <c r="I61" s="398"/>
      <c r="J61" s="398"/>
      <c r="K61" s="398"/>
      <c r="L61" s="407"/>
      <c r="M61" s="407"/>
    </row>
    <row r="62" spans="1:13" ht="17.25" customHeight="1">
      <c r="A62" s="406"/>
      <c r="B62" s="398"/>
      <c r="C62" s="398"/>
      <c r="D62" s="398"/>
      <c r="E62" s="398"/>
      <c r="F62" s="398"/>
      <c r="G62" s="398"/>
      <c r="H62" s="398"/>
      <c r="I62" s="398"/>
      <c r="J62" s="398"/>
      <c r="K62" s="398"/>
      <c r="L62" s="407"/>
      <c r="M62" s="407"/>
    </row>
    <row r="63" spans="1:13" ht="17.25" customHeight="1">
      <c r="A63" s="406"/>
      <c r="B63" s="398"/>
      <c r="C63" s="398"/>
      <c r="D63" s="398"/>
      <c r="E63" s="398"/>
      <c r="F63" s="398"/>
      <c r="G63" s="398"/>
      <c r="H63" s="398"/>
      <c r="I63" s="398"/>
      <c r="J63" s="398"/>
      <c r="K63" s="398"/>
      <c r="L63" s="407"/>
      <c r="M63" s="407"/>
    </row>
    <row r="64" spans="1:13" ht="17.25" customHeight="1">
      <c r="A64" s="406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407"/>
      <c r="M64" s="407"/>
    </row>
    <row r="65" spans="1:13" ht="17.25" customHeight="1">
      <c r="A65" s="406"/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407"/>
      <c r="M65" s="407"/>
    </row>
    <row r="66" spans="1:13" ht="17.25" customHeight="1">
      <c r="A66" s="406"/>
      <c r="B66" s="406"/>
      <c r="C66" s="406"/>
      <c r="D66" s="406"/>
      <c r="E66" s="406"/>
      <c r="F66" s="406"/>
      <c r="G66" s="406"/>
      <c r="H66" s="406"/>
      <c r="I66" s="406"/>
      <c r="J66" s="406"/>
      <c r="K66" s="406"/>
      <c r="L66" s="416"/>
      <c r="M66" s="407"/>
    </row>
    <row r="67" spans="1:13" ht="17.25" customHeight="1">
      <c r="A67" s="406"/>
      <c r="B67" s="406"/>
      <c r="C67" s="406"/>
      <c r="D67" s="406"/>
      <c r="E67" s="406"/>
      <c r="F67" s="406"/>
      <c r="G67" s="406"/>
      <c r="H67" s="406"/>
      <c r="I67" s="406"/>
      <c r="J67" s="406"/>
      <c r="K67" s="406"/>
      <c r="L67" s="416"/>
      <c r="M67" s="407"/>
    </row>
    <row r="68" spans="1:13" ht="17.25" customHeight="1">
      <c r="A68" s="406"/>
      <c r="B68" s="398"/>
      <c r="C68" s="398"/>
      <c r="D68" s="417"/>
      <c r="E68" s="398"/>
      <c r="F68" s="417"/>
      <c r="G68" s="398"/>
      <c r="H68" s="398"/>
      <c r="I68" s="398"/>
      <c r="J68" s="398"/>
      <c r="K68" s="398"/>
      <c r="L68" s="407"/>
      <c r="M68" s="407"/>
    </row>
    <row r="69" spans="1:13" ht="17.25" customHeight="1">
      <c r="A69" s="406"/>
      <c r="B69" s="398"/>
      <c r="C69" s="398"/>
      <c r="D69" s="398"/>
      <c r="E69" s="398"/>
      <c r="F69" s="398"/>
      <c r="G69" s="398"/>
      <c r="H69" s="398"/>
      <c r="I69" s="417"/>
      <c r="J69" s="398"/>
      <c r="K69" s="398"/>
      <c r="L69" s="407"/>
      <c r="M69" s="407"/>
    </row>
    <row r="70" spans="1:13" ht="17.25" customHeight="1">
      <c r="A70" s="406"/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407"/>
      <c r="M70" s="407"/>
    </row>
    <row r="71" spans="1:13" ht="17.25" customHeight="1">
      <c r="A71" s="406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407"/>
      <c r="M71" s="407"/>
    </row>
    <row r="72" spans="1:13" ht="17.25" customHeight="1">
      <c r="A72" s="406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407"/>
      <c r="M72" s="407"/>
    </row>
    <row r="73" spans="1:13" ht="17.25" customHeight="1">
      <c r="A73" s="406"/>
      <c r="B73" s="406"/>
      <c r="C73" s="406"/>
      <c r="D73" s="406"/>
      <c r="E73" s="406"/>
      <c r="F73" s="406"/>
      <c r="G73" s="406"/>
      <c r="H73" s="406"/>
      <c r="I73" s="406"/>
      <c r="J73" s="406"/>
      <c r="K73" s="406"/>
      <c r="L73" s="416"/>
      <c r="M73" s="416"/>
    </row>
    <row r="74" spans="1:13" ht="17.25" customHeight="1">
      <c r="A74" s="406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407"/>
      <c r="M74" s="407"/>
    </row>
    <row r="75" spans="1:13" ht="17.25" customHeight="1">
      <c r="A75" s="406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407"/>
      <c r="M75" s="407"/>
    </row>
    <row r="76" spans="1:13" ht="17.25" customHeight="1">
      <c r="A76" s="406"/>
      <c r="B76" s="406"/>
      <c r="C76" s="406"/>
      <c r="D76" s="406"/>
      <c r="E76" s="406"/>
      <c r="F76" s="406"/>
      <c r="G76" s="406"/>
      <c r="H76" s="406"/>
      <c r="I76" s="406"/>
      <c r="J76" s="406"/>
      <c r="K76" s="406"/>
      <c r="L76" s="416"/>
      <c r="M76" s="416"/>
    </row>
    <row r="77" spans="1:13" ht="17.25" customHeight="1">
      <c r="A77" s="406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407"/>
      <c r="M77" s="407"/>
    </row>
    <row r="78" spans="1:13" ht="17.25" customHeight="1">
      <c r="A78" s="406"/>
      <c r="B78" s="398"/>
      <c r="C78" s="398"/>
      <c r="D78" s="398"/>
      <c r="E78" s="398"/>
      <c r="F78" s="398"/>
      <c r="G78" s="398"/>
      <c r="H78" s="398"/>
      <c r="I78" s="398"/>
      <c r="J78" s="406"/>
      <c r="K78" s="406"/>
      <c r="L78" s="407"/>
      <c r="M78" s="407"/>
    </row>
    <row r="79" spans="1:13" ht="17.25" customHeight="1">
      <c r="A79" s="406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407"/>
      <c r="M79" s="407"/>
    </row>
    <row r="80" spans="1:13" ht="17.25" customHeight="1">
      <c r="A80" s="406"/>
      <c r="B80" s="406"/>
      <c r="C80" s="406"/>
      <c r="D80" s="406"/>
      <c r="E80" s="406"/>
      <c r="F80" s="406"/>
      <c r="G80" s="406"/>
      <c r="H80" s="406"/>
      <c r="I80" s="406"/>
      <c r="J80" s="406"/>
      <c r="K80" s="406"/>
      <c r="L80" s="416"/>
      <c r="M80" s="416"/>
    </row>
    <row r="81" spans="1:25" ht="17.25" customHeight="1">
      <c r="A81" s="406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407"/>
      <c r="M81" s="407"/>
    </row>
    <row r="82" spans="1:25" ht="17.25" customHeight="1">
      <c r="A82" s="406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407"/>
      <c r="M82" s="407"/>
    </row>
    <row r="83" spans="1:25" ht="17.25" customHeight="1">
      <c r="A83" s="406"/>
      <c r="B83" s="406"/>
      <c r="C83" s="406"/>
      <c r="D83" s="406"/>
      <c r="E83" s="406"/>
      <c r="F83" s="406"/>
      <c r="G83" s="406"/>
      <c r="H83" s="406"/>
      <c r="I83" s="406"/>
      <c r="J83" s="406"/>
      <c r="K83" s="406"/>
      <c r="L83" s="416"/>
      <c r="M83" s="416"/>
    </row>
    <row r="87" spans="1:25" ht="17.25" customHeight="1">
      <c r="Y87" s="396" t="s">
        <v>48</v>
      </c>
    </row>
  </sheetData>
  <mergeCells count="5">
    <mergeCell ref="A6:A7"/>
    <mergeCell ref="A2:M2"/>
    <mergeCell ref="A3:M3"/>
    <mergeCell ref="A4:M4"/>
    <mergeCell ref="M6:M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6" firstPageNumber="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16.6640625" style="396" customWidth="1"/>
    <col min="2" max="13" width="15.6640625" style="396" customWidth="1"/>
    <col min="14" max="14" width="12.5" style="422" bestFit="1" customWidth="1"/>
    <col min="15" max="15" width="11.1640625" style="396" bestFit="1" customWidth="1"/>
    <col min="16" max="16384" width="9.1640625" style="396"/>
  </cols>
  <sheetData>
    <row r="1" spans="1:15" s="375" customFormat="1" ht="17.25" customHeight="1">
      <c r="N1" s="386"/>
    </row>
    <row r="2" spans="1:15" s="375" customFormat="1" ht="17.25" customHeight="1">
      <c r="A2" s="629" t="s">
        <v>387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386"/>
    </row>
    <row r="3" spans="1:15" s="375" customFormat="1" ht="17.25" customHeight="1">
      <c r="A3" s="629" t="s">
        <v>306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386"/>
    </row>
    <row r="4" spans="1:15" s="375" customFormat="1" ht="17.25" customHeight="1">
      <c r="A4" s="629" t="s">
        <v>14</v>
      </c>
      <c r="B4" s="629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386"/>
    </row>
    <row r="5" spans="1:15" s="375" customFormat="1" ht="17.25" customHeight="1">
      <c r="A5" s="493"/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386"/>
    </row>
    <row r="6" spans="1:15" s="375" customFormat="1" ht="17.25" customHeight="1">
      <c r="A6" s="627" t="s">
        <v>37</v>
      </c>
      <c r="B6" s="418" t="s">
        <v>197</v>
      </c>
      <c r="C6" s="419" t="s">
        <v>33</v>
      </c>
      <c r="D6" s="419" t="s">
        <v>46</v>
      </c>
      <c r="E6" s="419" t="s">
        <v>45</v>
      </c>
      <c r="F6" s="419" t="s">
        <v>50</v>
      </c>
      <c r="G6" s="419" t="s">
        <v>44</v>
      </c>
      <c r="H6" s="419" t="s">
        <v>34</v>
      </c>
      <c r="I6" s="419" t="s">
        <v>35</v>
      </c>
      <c r="J6" s="419" t="s">
        <v>76</v>
      </c>
      <c r="K6" s="419" t="s">
        <v>78</v>
      </c>
      <c r="L6" s="419" t="s">
        <v>36</v>
      </c>
      <c r="M6" s="630" t="s">
        <v>0</v>
      </c>
      <c r="N6" s="386"/>
    </row>
    <row r="7" spans="1:15" s="375" customFormat="1" ht="17.25" customHeight="1">
      <c r="A7" s="628"/>
      <c r="B7" s="420" t="s">
        <v>38</v>
      </c>
      <c r="C7" s="421" t="s">
        <v>38</v>
      </c>
      <c r="D7" s="420" t="s">
        <v>38</v>
      </c>
      <c r="E7" s="420" t="s">
        <v>38</v>
      </c>
      <c r="F7" s="420" t="s">
        <v>38</v>
      </c>
      <c r="G7" s="421" t="s">
        <v>38</v>
      </c>
      <c r="H7" s="421" t="s">
        <v>38</v>
      </c>
      <c r="I7" s="421" t="s">
        <v>38</v>
      </c>
      <c r="J7" s="420" t="s">
        <v>38</v>
      </c>
      <c r="K7" s="420" t="s">
        <v>328</v>
      </c>
      <c r="L7" s="421" t="s">
        <v>329</v>
      </c>
      <c r="M7" s="631"/>
      <c r="N7" s="386"/>
    </row>
    <row r="8" spans="1:15" s="375" customFormat="1" ht="17.25" customHeight="1">
      <c r="A8" s="270" t="s">
        <v>18</v>
      </c>
      <c r="B8" s="457">
        <v>3185</v>
      </c>
      <c r="C8" s="457">
        <v>10037</v>
      </c>
      <c r="D8" s="457">
        <v>2439</v>
      </c>
      <c r="E8" s="457">
        <v>40</v>
      </c>
      <c r="F8" s="458">
        <v>1.9</v>
      </c>
      <c r="G8" s="473">
        <v>0</v>
      </c>
      <c r="H8" s="458">
        <v>11.2</v>
      </c>
      <c r="I8" s="457">
        <v>8.6999999999999993</v>
      </c>
      <c r="J8" s="457">
        <v>153</v>
      </c>
      <c r="K8" s="457">
        <f>0.1+3.9</f>
        <v>4</v>
      </c>
      <c r="L8" s="460">
        <f>0.4+3.9</f>
        <v>4.3</v>
      </c>
      <c r="M8" s="461">
        <f>SUM(B8:L8)</f>
        <v>15884.1</v>
      </c>
      <c r="N8" s="386"/>
    </row>
    <row r="9" spans="1:15" s="375" customFormat="1" ht="17.25" customHeight="1">
      <c r="A9" s="270" t="s">
        <v>47</v>
      </c>
      <c r="B9" s="457">
        <v>450</v>
      </c>
      <c r="C9" s="457">
        <v>8284</v>
      </c>
      <c r="D9" s="457">
        <v>2272</v>
      </c>
      <c r="E9" s="457">
        <v>478</v>
      </c>
      <c r="F9" s="457">
        <v>1</v>
      </c>
      <c r="G9" s="457">
        <v>67</v>
      </c>
      <c r="H9" s="457">
        <v>180</v>
      </c>
      <c r="I9" s="457">
        <v>660</v>
      </c>
      <c r="J9" s="457">
        <v>672</v>
      </c>
      <c r="K9" s="457">
        <f>4+7+4+185</f>
        <v>200</v>
      </c>
      <c r="L9" s="460">
        <f>16+14+657+155</f>
        <v>842</v>
      </c>
      <c r="M9" s="461">
        <f t="shared" ref="M9:M39" si="0">SUM(B9:L9)</f>
        <v>14106</v>
      </c>
      <c r="N9" s="386"/>
      <c r="O9" s="385"/>
    </row>
    <row r="10" spans="1:15" s="375" customFormat="1" ht="17.25" customHeight="1">
      <c r="A10" s="270" t="s">
        <v>246</v>
      </c>
      <c r="B10" s="457">
        <v>826</v>
      </c>
      <c r="C10" s="457">
        <v>7659</v>
      </c>
      <c r="D10" s="457">
        <v>1229</v>
      </c>
      <c r="E10" s="457">
        <v>1615</v>
      </c>
      <c r="F10" s="473">
        <v>0</v>
      </c>
      <c r="G10" s="457">
        <v>194.4</v>
      </c>
      <c r="H10" s="457">
        <v>53.7</v>
      </c>
      <c r="I10" s="457">
        <v>172</v>
      </c>
      <c r="J10" s="457">
        <v>929</v>
      </c>
      <c r="K10" s="457">
        <f>0.7+2.1+54.9+252.4</f>
        <v>310.10000000000002</v>
      </c>
      <c r="L10" s="457">
        <f>75.7+2+62.3+126.9</f>
        <v>266.89999999999998</v>
      </c>
      <c r="M10" s="461">
        <f t="shared" si="0"/>
        <v>13255.1</v>
      </c>
      <c r="N10" s="386"/>
      <c r="O10" s="385"/>
    </row>
    <row r="11" spans="1:15" s="375" customFormat="1" ht="17.25" customHeight="1">
      <c r="A11" s="270" t="s">
        <v>250</v>
      </c>
      <c r="B11" s="457">
        <v>170</v>
      </c>
      <c r="C11" s="457">
        <v>1577</v>
      </c>
      <c r="D11" s="457">
        <v>68.2</v>
      </c>
      <c r="E11" s="457">
        <v>1835</v>
      </c>
      <c r="F11" s="473">
        <v>0</v>
      </c>
      <c r="G11" s="457">
        <v>13.3</v>
      </c>
      <c r="H11" s="457">
        <v>346.9</v>
      </c>
      <c r="I11" s="457">
        <v>471</v>
      </c>
      <c r="J11" s="457">
        <v>350</v>
      </c>
      <c r="K11" s="457">
        <f>19.1+29+1.7+56.3</f>
        <v>106.1</v>
      </c>
      <c r="L11" s="462">
        <f>59.5+10.4+21.6+216.6</f>
        <v>308.10000000000002</v>
      </c>
      <c r="M11" s="461">
        <f t="shared" si="0"/>
        <v>5245.6</v>
      </c>
      <c r="N11" s="386"/>
      <c r="O11" s="385"/>
    </row>
    <row r="12" spans="1:15" s="375" customFormat="1" ht="17.25" customHeight="1">
      <c r="A12" s="453" t="s">
        <v>21</v>
      </c>
      <c r="B12" s="457">
        <v>144.30000000000001</v>
      </c>
      <c r="C12" s="457">
        <v>3165</v>
      </c>
      <c r="D12" s="457">
        <v>1.7</v>
      </c>
      <c r="E12" s="473">
        <v>0</v>
      </c>
      <c r="F12" s="473">
        <v>0</v>
      </c>
      <c r="G12" s="473">
        <v>0</v>
      </c>
      <c r="H12" s="473">
        <v>0</v>
      </c>
      <c r="I12" s="457">
        <v>6.1</v>
      </c>
      <c r="J12" s="457">
        <v>23.3</v>
      </c>
      <c r="K12" s="457">
        <f>1</f>
        <v>1</v>
      </c>
      <c r="L12" s="460">
        <f>0.2+10.8</f>
        <v>11</v>
      </c>
      <c r="M12" s="461">
        <f t="shared" si="0"/>
        <v>3352.4</v>
      </c>
      <c r="N12" s="379"/>
      <c r="O12" s="385"/>
    </row>
    <row r="13" spans="1:15" s="375" customFormat="1" ht="17.25" customHeight="1">
      <c r="A13" s="453" t="s">
        <v>17</v>
      </c>
      <c r="B13" s="457">
        <v>332.2</v>
      </c>
      <c r="C13" s="457">
        <v>987</v>
      </c>
      <c r="D13" s="457">
        <v>399</v>
      </c>
      <c r="E13" s="457">
        <v>0.5</v>
      </c>
      <c r="F13" s="458">
        <v>0.5</v>
      </c>
      <c r="G13" s="473">
        <v>0</v>
      </c>
      <c r="H13" s="457">
        <v>3.5</v>
      </c>
      <c r="I13" s="457">
        <v>6</v>
      </c>
      <c r="J13" s="457">
        <v>34</v>
      </c>
      <c r="K13" s="457">
        <f>45.4+0.5+2.2</f>
        <v>48.1</v>
      </c>
      <c r="L13" s="460">
        <f>25.3+3.2</f>
        <v>28.5</v>
      </c>
      <c r="M13" s="461">
        <f t="shared" si="0"/>
        <v>1839.3</v>
      </c>
      <c r="N13" s="386"/>
      <c r="O13" s="385"/>
    </row>
    <row r="14" spans="1:15" s="375" customFormat="1" ht="17.25" customHeight="1">
      <c r="A14" s="453" t="s">
        <v>16</v>
      </c>
      <c r="B14" s="457">
        <v>857</v>
      </c>
      <c r="C14" s="457">
        <v>1520</v>
      </c>
      <c r="D14" s="457">
        <v>8.3000000000000007</v>
      </c>
      <c r="E14" s="473">
        <v>0</v>
      </c>
      <c r="F14" s="473">
        <v>0</v>
      </c>
      <c r="G14" s="473">
        <v>0</v>
      </c>
      <c r="H14" s="473">
        <v>0</v>
      </c>
      <c r="I14" s="457">
        <v>1.9</v>
      </c>
      <c r="J14" s="457">
        <v>16</v>
      </c>
      <c r="K14" s="458">
        <f>5.1+0.4</f>
        <v>5.5</v>
      </c>
      <c r="L14" s="473">
        <v>0</v>
      </c>
      <c r="M14" s="461">
        <f t="shared" si="0"/>
        <v>2408.7000000000003</v>
      </c>
      <c r="N14" s="386"/>
      <c r="O14" s="385"/>
    </row>
    <row r="15" spans="1:15" s="375" customFormat="1" ht="17.25" customHeight="1">
      <c r="A15" s="453" t="s">
        <v>23</v>
      </c>
      <c r="B15" s="473">
        <v>0</v>
      </c>
      <c r="C15" s="457">
        <v>637</v>
      </c>
      <c r="D15" s="457">
        <v>539</v>
      </c>
      <c r="E15" s="457">
        <v>0.1</v>
      </c>
      <c r="F15" s="473">
        <v>0</v>
      </c>
      <c r="G15" s="473">
        <v>0</v>
      </c>
      <c r="H15" s="463">
        <v>28</v>
      </c>
      <c r="I15" s="457">
        <v>17</v>
      </c>
      <c r="J15" s="457">
        <v>90</v>
      </c>
      <c r="K15" s="463">
        <f>43.2+5.2</f>
        <v>48.400000000000006</v>
      </c>
      <c r="L15" s="460">
        <f>8.6+65.4+11.2</f>
        <v>85.2</v>
      </c>
      <c r="M15" s="461">
        <f t="shared" si="0"/>
        <v>1444.7</v>
      </c>
      <c r="N15" s="386"/>
      <c r="O15" s="385"/>
    </row>
    <row r="16" spans="1:15" s="375" customFormat="1" ht="17.25" customHeight="1">
      <c r="A16" s="453" t="s">
        <v>42</v>
      </c>
      <c r="B16" s="463">
        <v>147</v>
      </c>
      <c r="C16" s="457">
        <v>543.4</v>
      </c>
      <c r="D16" s="457">
        <v>49.9</v>
      </c>
      <c r="E16" s="457">
        <v>115</v>
      </c>
      <c r="F16" s="463">
        <v>24.1</v>
      </c>
      <c r="G16" s="463">
        <v>0.1</v>
      </c>
      <c r="H16" s="457">
        <v>19.399999999999999</v>
      </c>
      <c r="I16" s="457">
        <v>4.7</v>
      </c>
      <c r="J16" s="457">
        <v>79.400000000000006</v>
      </c>
      <c r="K16" s="457">
        <f>1.5+10.4+1.8+3.5</f>
        <v>17.200000000000003</v>
      </c>
      <c r="L16" s="460">
        <f>20.8+20.1+2.8+253.2</f>
        <v>296.89999999999998</v>
      </c>
      <c r="M16" s="461">
        <f t="shared" si="0"/>
        <v>1297.0999999999999</v>
      </c>
      <c r="N16" s="386"/>
      <c r="O16" s="385"/>
    </row>
    <row r="17" spans="1:17" s="375" customFormat="1" ht="17.25" customHeight="1">
      <c r="A17" s="453" t="s">
        <v>22</v>
      </c>
      <c r="B17" s="457">
        <v>16.7</v>
      </c>
      <c r="C17" s="457">
        <v>951</v>
      </c>
      <c r="D17" s="457">
        <v>27.9</v>
      </c>
      <c r="E17" s="457">
        <v>17.5</v>
      </c>
      <c r="F17" s="473">
        <v>0</v>
      </c>
      <c r="G17" s="457">
        <v>0.8</v>
      </c>
      <c r="H17" s="473">
        <v>0</v>
      </c>
      <c r="I17" s="457">
        <v>37.4</v>
      </c>
      <c r="J17" s="457">
        <v>4.9000000000000004</v>
      </c>
      <c r="K17" s="457">
        <f>2.7+45.6+0.1+2</f>
        <v>50.400000000000006</v>
      </c>
      <c r="L17" s="460">
        <f>16.3+60.7+621.1</f>
        <v>698.1</v>
      </c>
      <c r="M17" s="461">
        <f t="shared" si="0"/>
        <v>1804.7000000000003</v>
      </c>
      <c r="N17" s="386"/>
      <c r="O17" s="385"/>
    </row>
    <row r="18" spans="1:17" s="375" customFormat="1" ht="17.25" customHeight="1">
      <c r="A18" s="270" t="s">
        <v>1</v>
      </c>
      <c r="B18" s="457">
        <v>91.6</v>
      </c>
      <c r="C18" s="457">
        <v>977</v>
      </c>
      <c r="D18" s="457">
        <v>148</v>
      </c>
      <c r="E18" s="457">
        <v>65.5</v>
      </c>
      <c r="F18" s="473">
        <v>0</v>
      </c>
      <c r="G18" s="457">
        <v>2</v>
      </c>
      <c r="H18" s="473">
        <v>0</v>
      </c>
      <c r="I18" s="457">
        <v>224</v>
      </c>
      <c r="J18" s="457">
        <v>318</v>
      </c>
      <c r="K18" s="457">
        <f>1.3+21.9+1.7+2.2</f>
        <v>27.099999999999998</v>
      </c>
      <c r="L18" s="460">
        <f>223+8+26.4</f>
        <v>257.39999999999998</v>
      </c>
      <c r="M18" s="461">
        <f t="shared" si="0"/>
        <v>2110.6</v>
      </c>
      <c r="N18" s="386"/>
      <c r="O18" s="385"/>
    </row>
    <row r="19" spans="1:17" s="375" customFormat="1" ht="17.25" customHeight="1">
      <c r="A19" s="453" t="s">
        <v>30</v>
      </c>
      <c r="B19" s="457">
        <v>0.8</v>
      </c>
      <c r="C19" s="457">
        <v>1350</v>
      </c>
      <c r="D19" s="457">
        <v>1</v>
      </c>
      <c r="E19" s="458">
        <v>1</v>
      </c>
      <c r="F19" s="463">
        <v>22.1</v>
      </c>
      <c r="G19" s="457">
        <v>0.1</v>
      </c>
      <c r="H19" s="463">
        <v>1.2</v>
      </c>
      <c r="I19" s="473">
        <v>0</v>
      </c>
      <c r="J19" s="457">
        <v>0.3</v>
      </c>
      <c r="K19" s="457">
        <f>2.6+0.1</f>
        <v>2.7</v>
      </c>
      <c r="L19" s="460">
        <f>0.8+6.4</f>
        <v>7.2</v>
      </c>
      <c r="M19" s="461">
        <f t="shared" si="0"/>
        <v>1386.3999999999999</v>
      </c>
      <c r="N19" s="386"/>
      <c r="O19" s="385"/>
    </row>
    <row r="20" spans="1:17" s="375" customFormat="1" ht="17.25" customHeight="1">
      <c r="A20" s="453" t="s">
        <v>214</v>
      </c>
      <c r="B20" s="457">
        <v>50.6</v>
      </c>
      <c r="C20" s="457">
        <v>1106</v>
      </c>
      <c r="D20" s="457">
        <v>2.2999999999999998</v>
      </c>
      <c r="E20" s="463">
        <v>139</v>
      </c>
      <c r="F20" s="458">
        <v>0.2</v>
      </c>
      <c r="G20" s="473">
        <v>0</v>
      </c>
      <c r="H20" s="457">
        <v>29.4</v>
      </c>
      <c r="I20" s="463">
        <v>27</v>
      </c>
      <c r="J20" s="457">
        <v>62</v>
      </c>
      <c r="K20" s="457">
        <f>0.1+5.9+5.4</f>
        <v>11.4</v>
      </c>
      <c r="L20" s="460">
        <f>99.3+0.7+1.5+14.9</f>
        <v>116.4</v>
      </c>
      <c r="M20" s="461">
        <f t="shared" si="0"/>
        <v>1544.3000000000002</v>
      </c>
      <c r="N20" s="386"/>
      <c r="O20" s="385"/>
    </row>
    <row r="21" spans="1:17" s="375" customFormat="1" ht="17.25" customHeight="1">
      <c r="A21" s="453" t="s">
        <v>19</v>
      </c>
      <c r="B21" s="457">
        <v>316</v>
      </c>
      <c r="C21" s="457">
        <v>566</v>
      </c>
      <c r="D21" s="457">
        <v>737</v>
      </c>
      <c r="E21" s="457">
        <v>2.5</v>
      </c>
      <c r="F21" s="457">
        <v>3.7</v>
      </c>
      <c r="G21" s="473">
        <v>0</v>
      </c>
      <c r="H21" s="457">
        <v>2.8</v>
      </c>
      <c r="I21" s="457">
        <v>14.7</v>
      </c>
      <c r="J21" s="457">
        <v>23.7</v>
      </c>
      <c r="K21" s="457">
        <f>1.7</f>
        <v>1.7</v>
      </c>
      <c r="L21" s="460">
        <f>36.4+0.1</f>
        <v>36.5</v>
      </c>
      <c r="M21" s="461">
        <f t="shared" si="0"/>
        <v>1704.6000000000001</v>
      </c>
      <c r="N21" s="386"/>
      <c r="O21" s="385"/>
      <c r="Q21" s="392"/>
    </row>
    <row r="22" spans="1:17" s="375" customFormat="1" ht="17.25" customHeight="1">
      <c r="A22" s="450" t="s">
        <v>43</v>
      </c>
      <c r="B22" s="461">
        <v>62.7</v>
      </c>
      <c r="C22" s="461">
        <v>1040</v>
      </c>
      <c r="D22" s="461">
        <v>12.1</v>
      </c>
      <c r="E22" s="461">
        <v>32.700000000000003</v>
      </c>
      <c r="F22" s="459">
        <v>0</v>
      </c>
      <c r="G22" s="461">
        <v>0.8</v>
      </c>
      <c r="H22" s="461">
        <v>5.6</v>
      </c>
      <c r="I22" s="473">
        <v>0</v>
      </c>
      <c r="J22" s="461">
        <v>60</v>
      </c>
      <c r="K22" s="461">
        <f>4.5+0.7</f>
        <v>5.2</v>
      </c>
      <c r="L22" s="464">
        <f>35.8+1+26</f>
        <v>62.8</v>
      </c>
      <c r="M22" s="461">
        <f t="shared" si="0"/>
        <v>1281.8999999999999</v>
      </c>
      <c r="N22" s="386"/>
      <c r="O22" s="385"/>
    </row>
    <row r="23" spans="1:17" s="375" customFormat="1" ht="17.25" customHeight="1">
      <c r="A23" s="453" t="s">
        <v>159</v>
      </c>
      <c r="B23" s="457">
        <v>351</v>
      </c>
      <c r="C23" s="457">
        <v>646</v>
      </c>
      <c r="D23" s="457">
        <v>35.299999999999997</v>
      </c>
      <c r="E23" s="457">
        <v>155.6</v>
      </c>
      <c r="F23" s="457">
        <v>0.2</v>
      </c>
      <c r="G23" s="473">
        <v>0</v>
      </c>
      <c r="H23" s="457">
        <v>19.3</v>
      </c>
      <c r="I23" s="457">
        <v>57</v>
      </c>
      <c r="J23" s="457">
        <v>10.199999999999999</v>
      </c>
      <c r="K23" s="457">
        <f>0.5+6.4+4.3+9.9</f>
        <v>21.1</v>
      </c>
      <c r="L23" s="460">
        <f>12+0.1+9+15</f>
        <v>36.1</v>
      </c>
      <c r="M23" s="461">
        <f t="shared" si="0"/>
        <v>1331.7999999999997</v>
      </c>
      <c r="N23" s="386"/>
      <c r="O23" s="385"/>
    </row>
    <row r="24" spans="1:17" s="375" customFormat="1" ht="17.25" customHeight="1">
      <c r="A24" s="453" t="s">
        <v>20</v>
      </c>
      <c r="B24" s="457">
        <v>10.8</v>
      </c>
      <c r="C24" s="457">
        <v>779</v>
      </c>
      <c r="D24" s="457">
        <v>27.7</v>
      </c>
      <c r="E24" s="463">
        <v>37.799999999999997</v>
      </c>
      <c r="F24" s="463">
        <v>2.9</v>
      </c>
      <c r="G24" s="463">
        <v>0.5</v>
      </c>
      <c r="H24" s="463">
        <v>72.8</v>
      </c>
      <c r="I24" s="457">
        <v>39</v>
      </c>
      <c r="J24" s="457">
        <v>74</v>
      </c>
      <c r="K24" s="457">
        <f>9.1+17.7</f>
        <v>26.799999999999997</v>
      </c>
      <c r="L24" s="460">
        <f>23+2.7+24.5+25.1</f>
        <v>75.300000000000011</v>
      </c>
      <c r="M24" s="461">
        <f t="shared" si="0"/>
        <v>1146.5999999999999</v>
      </c>
      <c r="N24" s="386"/>
      <c r="O24" s="385"/>
    </row>
    <row r="25" spans="1:17" s="375" customFormat="1" ht="17.25" customHeight="1">
      <c r="A25" s="453" t="s">
        <v>51</v>
      </c>
      <c r="B25" s="457">
        <v>864.3</v>
      </c>
      <c r="C25" s="457">
        <v>158</v>
      </c>
      <c r="D25" s="457">
        <v>42.3</v>
      </c>
      <c r="E25" s="461">
        <v>1.9</v>
      </c>
      <c r="F25" s="473">
        <v>0</v>
      </c>
      <c r="G25" s="473">
        <v>0</v>
      </c>
      <c r="H25" s="473">
        <v>0</v>
      </c>
      <c r="I25" s="457">
        <v>4.3</v>
      </c>
      <c r="J25" s="457">
        <v>21.6</v>
      </c>
      <c r="K25" s="457">
        <f>1+0.2</f>
        <v>1.2</v>
      </c>
      <c r="L25" s="460">
        <f>8.9+0.8</f>
        <v>9.7000000000000011</v>
      </c>
      <c r="M25" s="461">
        <f t="shared" si="0"/>
        <v>1103.3</v>
      </c>
      <c r="N25" s="386"/>
      <c r="O25" s="385"/>
    </row>
    <row r="26" spans="1:17" s="375" customFormat="1" ht="17.25" customHeight="1">
      <c r="A26" s="453" t="s">
        <v>56</v>
      </c>
      <c r="B26" s="457">
        <v>11.1</v>
      </c>
      <c r="C26" s="457">
        <v>586.1</v>
      </c>
      <c r="D26" s="457">
        <v>126.4</v>
      </c>
      <c r="E26" s="457">
        <v>4.4000000000000004</v>
      </c>
      <c r="F26" s="463">
        <v>4.0999999999999996</v>
      </c>
      <c r="G26" s="473">
        <v>0</v>
      </c>
      <c r="H26" s="457">
        <v>33.299999999999997</v>
      </c>
      <c r="I26" s="463">
        <v>3.3</v>
      </c>
      <c r="J26" s="457">
        <v>57.4</v>
      </c>
      <c r="K26" s="457">
        <f>72.1+0.7</f>
        <v>72.8</v>
      </c>
      <c r="L26" s="460">
        <f>37.3+3.5</f>
        <v>40.799999999999997</v>
      </c>
      <c r="M26" s="461">
        <f t="shared" si="0"/>
        <v>939.69999999999982</v>
      </c>
      <c r="N26" s="386"/>
      <c r="O26" s="385"/>
    </row>
    <row r="27" spans="1:17" s="375" customFormat="1" ht="17.25" customHeight="1">
      <c r="A27" s="453" t="s">
        <v>24</v>
      </c>
      <c r="B27" s="457">
        <v>68.2</v>
      </c>
      <c r="C27" s="457">
        <v>947</v>
      </c>
      <c r="D27" s="458">
        <v>13.5</v>
      </c>
      <c r="E27" s="457">
        <v>1.8</v>
      </c>
      <c r="F27" s="458">
        <v>1.3</v>
      </c>
      <c r="G27" s="473">
        <v>0</v>
      </c>
      <c r="H27" s="473">
        <v>0</v>
      </c>
      <c r="I27" s="457">
        <v>2.5</v>
      </c>
      <c r="J27" s="457">
        <v>16.600000000000001</v>
      </c>
      <c r="K27" s="457">
        <f>1.1+16.3</f>
        <v>17.400000000000002</v>
      </c>
      <c r="L27" s="460">
        <f>20.2+6.3+4.2</f>
        <v>30.7</v>
      </c>
      <c r="M27" s="461">
        <f t="shared" si="0"/>
        <v>1099</v>
      </c>
      <c r="N27" s="386"/>
      <c r="O27" s="385"/>
    </row>
    <row r="28" spans="1:17" s="375" customFormat="1" ht="17.25" customHeight="1">
      <c r="A28" s="453" t="s">
        <v>25</v>
      </c>
      <c r="B28" s="457">
        <v>98</v>
      </c>
      <c r="C28" s="457">
        <v>500</v>
      </c>
      <c r="D28" s="463">
        <v>246</v>
      </c>
      <c r="E28" s="473">
        <v>0</v>
      </c>
      <c r="F28" s="463">
        <v>4.5</v>
      </c>
      <c r="G28" s="473">
        <v>0</v>
      </c>
      <c r="H28" s="457">
        <v>8.1</v>
      </c>
      <c r="I28" s="457">
        <v>5.6</v>
      </c>
      <c r="J28" s="457">
        <v>35</v>
      </c>
      <c r="K28" s="457">
        <f>6.5+1.6+1.7</f>
        <v>9.7999999999999989</v>
      </c>
      <c r="L28" s="460">
        <f>3.8+1.3+0.2+12.3</f>
        <v>17.600000000000001</v>
      </c>
      <c r="M28" s="461">
        <f t="shared" si="0"/>
        <v>924.6</v>
      </c>
      <c r="N28" s="386"/>
      <c r="O28" s="385"/>
    </row>
    <row r="29" spans="1:17" s="375" customFormat="1" ht="17.25" customHeight="1">
      <c r="A29" s="453" t="s">
        <v>53</v>
      </c>
      <c r="B29" s="457">
        <v>41.1</v>
      </c>
      <c r="C29" s="457">
        <v>179.4</v>
      </c>
      <c r="D29" s="457">
        <v>432</v>
      </c>
      <c r="E29" s="473">
        <v>0</v>
      </c>
      <c r="F29" s="473">
        <v>0</v>
      </c>
      <c r="G29" s="473">
        <v>0</v>
      </c>
      <c r="H29" s="457">
        <v>2.9</v>
      </c>
      <c r="I29" s="458">
        <v>2</v>
      </c>
      <c r="J29" s="457">
        <v>3</v>
      </c>
      <c r="K29" s="457">
        <f>13.2+0</f>
        <v>13.2</v>
      </c>
      <c r="L29" s="460">
        <f>5.3+1.4</f>
        <v>6.6999999999999993</v>
      </c>
      <c r="M29" s="461">
        <f t="shared" si="0"/>
        <v>680.30000000000007</v>
      </c>
      <c r="N29" s="386"/>
      <c r="O29" s="385"/>
    </row>
    <row r="30" spans="1:17" s="375" customFormat="1" ht="17.25" customHeight="1">
      <c r="A30" s="452" t="s">
        <v>55</v>
      </c>
      <c r="B30" s="463">
        <v>7.9</v>
      </c>
      <c r="C30" s="463">
        <v>915</v>
      </c>
      <c r="D30" s="463">
        <v>8</v>
      </c>
      <c r="E30" s="458">
        <v>5</v>
      </c>
      <c r="F30" s="473">
        <v>0</v>
      </c>
      <c r="G30" s="473">
        <v>0</v>
      </c>
      <c r="H30" s="473">
        <v>0</v>
      </c>
      <c r="I30" s="463">
        <v>0.3</v>
      </c>
      <c r="J30" s="463">
        <v>13.8</v>
      </c>
      <c r="K30" s="463">
        <f>4+0.2</f>
        <v>4.2</v>
      </c>
      <c r="L30" s="463">
        <f>0.4+2.1</f>
        <v>2.5</v>
      </c>
      <c r="M30" s="461">
        <f t="shared" si="0"/>
        <v>956.69999999999993</v>
      </c>
      <c r="N30" s="386"/>
      <c r="O30" s="385"/>
    </row>
    <row r="31" spans="1:17" s="375" customFormat="1" ht="17.25" customHeight="1">
      <c r="A31" s="270" t="s">
        <v>26</v>
      </c>
      <c r="B31" s="457">
        <v>47.9</v>
      </c>
      <c r="C31" s="457">
        <v>143.4</v>
      </c>
      <c r="D31" s="457">
        <v>43.9</v>
      </c>
      <c r="E31" s="457">
        <v>12.8</v>
      </c>
      <c r="F31" s="458">
        <v>3.9</v>
      </c>
      <c r="G31" s="473">
        <v>0</v>
      </c>
      <c r="H31" s="457">
        <v>90.5</v>
      </c>
      <c r="I31" s="457">
        <v>4.2</v>
      </c>
      <c r="J31" s="457">
        <v>199</v>
      </c>
      <c r="K31" s="457">
        <f>17.2+0.6+2.6</f>
        <v>20.400000000000002</v>
      </c>
      <c r="L31" s="460">
        <f>4.5+4.1+59.6</f>
        <v>68.2</v>
      </c>
      <c r="M31" s="461">
        <f t="shared" si="0"/>
        <v>634.20000000000005</v>
      </c>
      <c r="N31" s="386"/>
      <c r="O31" s="385"/>
    </row>
    <row r="32" spans="1:17" s="375" customFormat="1" ht="17.25" customHeight="1">
      <c r="A32" s="453" t="s">
        <v>57</v>
      </c>
      <c r="B32" s="457">
        <v>547.20000000000005</v>
      </c>
      <c r="C32" s="457">
        <v>44.9</v>
      </c>
      <c r="D32" s="457">
        <v>69.8</v>
      </c>
      <c r="E32" s="457">
        <v>4.3</v>
      </c>
      <c r="F32" s="473">
        <v>0</v>
      </c>
      <c r="G32" s="473">
        <v>0</v>
      </c>
      <c r="H32" s="457">
        <v>5.2</v>
      </c>
      <c r="I32" s="473">
        <v>0</v>
      </c>
      <c r="J32" s="457">
        <v>5.8</v>
      </c>
      <c r="K32" s="457">
        <f>2.7+0</f>
        <v>2.7</v>
      </c>
      <c r="L32" s="460">
        <f>13.1+0.1+13.2</f>
        <v>26.4</v>
      </c>
      <c r="M32" s="461">
        <f t="shared" si="0"/>
        <v>706.3</v>
      </c>
      <c r="N32" s="386"/>
      <c r="O32" s="385"/>
    </row>
    <row r="33" spans="1:15" s="375" customFormat="1" ht="17.25" customHeight="1">
      <c r="A33" s="453" t="s">
        <v>253</v>
      </c>
      <c r="B33" s="457">
        <v>34.299999999999997</v>
      </c>
      <c r="C33" s="457">
        <v>360</v>
      </c>
      <c r="D33" s="457">
        <v>116</v>
      </c>
      <c r="E33" s="463">
        <v>4.8</v>
      </c>
      <c r="F33" s="463">
        <v>1.4</v>
      </c>
      <c r="G33" s="473">
        <v>0</v>
      </c>
      <c r="H33" s="463">
        <v>23.5</v>
      </c>
      <c r="I33" s="457">
        <v>5.2</v>
      </c>
      <c r="J33" s="457">
        <v>20</v>
      </c>
      <c r="K33" s="457">
        <f>25.2+4.2</f>
        <v>29.4</v>
      </c>
      <c r="L33" s="460">
        <v>26.5</v>
      </c>
      <c r="M33" s="461">
        <f t="shared" si="0"/>
        <v>621.1</v>
      </c>
      <c r="N33" s="386"/>
      <c r="O33" s="385"/>
    </row>
    <row r="34" spans="1:15" s="375" customFormat="1" ht="17.25" customHeight="1">
      <c r="A34" s="453" t="s">
        <v>28</v>
      </c>
      <c r="B34" s="457">
        <v>345</v>
      </c>
      <c r="C34" s="457">
        <v>233.7</v>
      </c>
      <c r="D34" s="457">
        <v>34.1</v>
      </c>
      <c r="E34" s="457">
        <v>26.5</v>
      </c>
      <c r="F34" s="473">
        <v>0</v>
      </c>
      <c r="G34" s="473">
        <v>0</v>
      </c>
      <c r="H34" s="457">
        <v>5.6</v>
      </c>
      <c r="I34" s="458">
        <v>0.3</v>
      </c>
      <c r="J34" s="457">
        <v>13.5</v>
      </c>
      <c r="K34" s="457">
        <f>0.1+0.3</f>
        <v>0.4</v>
      </c>
      <c r="L34" s="460">
        <f>0.1+0.1+3.5+5.2</f>
        <v>8.9</v>
      </c>
      <c r="M34" s="461">
        <f t="shared" si="0"/>
        <v>668</v>
      </c>
      <c r="N34" s="386"/>
      <c r="O34" s="385"/>
    </row>
    <row r="35" spans="1:15" s="375" customFormat="1" ht="17.25" customHeight="1">
      <c r="A35" s="453" t="s">
        <v>41</v>
      </c>
      <c r="B35" s="457">
        <v>21.9</v>
      </c>
      <c r="C35" s="457">
        <v>113.4</v>
      </c>
      <c r="D35" s="457">
        <v>30.5</v>
      </c>
      <c r="E35" s="457">
        <v>17.399999999999999</v>
      </c>
      <c r="F35" s="457">
        <v>6.5</v>
      </c>
      <c r="G35" s="457">
        <v>3.3</v>
      </c>
      <c r="H35" s="457">
        <v>46.9</v>
      </c>
      <c r="I35" s="457">
        <v>27.5</v>
      </c>
      <c r="J35" s="457">
        <v>14.7</v>
      </c>
      <c r="K35" s="457">
        <f>2.6+10.9+0.2+4.1</f>
        <v>17.799999999999997</v>
      </c>
      <c r="L35" s="460">
        <f>20.7+7.9+50.1+53.7</f>
        <v>132.4</v>
      </c>
      <c r="M35" s="461">
        <f t="shared" si="0"/>
        <v>432.30000000000007</v>
      </c>
      <c r="N35" s="386"/>
      <c r="O35" s="385"/>
    </row>
    <row r="36" spans="1:15" s="375" customFormat="1" ht="17.25" customHeight="1">
      <c r="A36" s="453" t="s">
        <v>58</v>
      </c>
      <c r="B36" s="457">
        <v>81</v>
      </c>
      <c r="C36" s="457">
        <v>60</v>
      </c>
      <c r="D36" s="458">
        <v>10.4</v>
      </c>
      <c r="E36" s="457">
        <v>0.2</v>
      </c>
      <c r="F36" s="473">
        <v>0</v>
      </c>
      <c r="G36" s="473">
        <v>0</v>
      </c>
      <c r="H36" s="457">
        <v>0.6</v>
      </c>
      <c r="I36" s="473">
        <v>0</v>
      </c>
      <c r="J36" s="473">
        <v>0</v>
      </c>
      <c r="K36" s="457">
        <f>0.1</f>
        <v>0.1</v>
      </c>
      <c r="L36" s="473">
        <v>0</v>
      </c>
      <c r="M36" s="461">
        <f t="shared" si="0"/>
        <v>152.29999999999998</v>
      </c>
      <c r="N36" s="386"/>
      <c r="O36" s="385"/>
    </row>
    <row r="37" spans="1:15" s="375" customFormat="1" ht="17.25" customHeight="1">
      <c r="A37" s="453" t="s">
        <v>40</v>
      </c>
      <c r="B37" s="457">
        <v>22.8</v>
      </c>
      <c r="C37" s="457">
        <v>112.7</v>
      </c>
      <c r="D37" s="457">
        <v>68.099999999999994</v>
      </c>
      <c r="E37" s="457">
        <v>16.600000000000001</v>
      </c>
      <c r="F37" s="457">
        <v>36.700000000000003</v>
      </c>
      <c r="G37" s="457">
        <v>1</v>
      </c>
      <c r="H37" s="457">
        <v>30.9</v>
      </c>
      <c r="I37" s="457">
        <v>12</v>
      </c>
      <c r="J37" s="457">
        <v>6.3</v>
      </c>
      <c r="K37" s="457">
        <f>2.3+1.2+1.3+1.2</f>
        <v>6</v>
      </c>
      <c r="L37" s="460">
        <f>27+10+0.3</f>
        <v>37.299999999999997</v>
      </c>
      <c r="M37" s="461">
        <f t="shared" si="0"/>
        <v>350.4</v>
      </c>
      <c r="N37" s="386"/>
      <c r="O37" s="385"/>
    </row>
    <row r="38" spans="1:15" s="375" customFormat="1" ht="17.25" customHeight="1">
      <c r="A38" s="453" t="s">
        <v>54</v>
      </c>
      <c r="B38" s="457">
        <v>36.6</v>
      </c>
      <c r="C38" s="457">
        <v>37.4</v>
      </c>
      <c r="D38" s="457">
        <v>61.6</v>
      </c>
      <c r="E38" s="457">
        <v>0.1</v>
      </c>
      <c r="F38" s="473">
        <v>0</v>
      </c>
      <c r="G38" s="473">
        <v>0</v>
      </c>
      <c r="H38" s="457">
        <v>0.4</v>
      </c>
      <c r="I38" s="457">
        <v>1</v>
      </c>
      <c r="J38" s="457">
        <v>4.0999999999999996</v>
      </c>
      <c r="K38" s="457">
        <f>14.3</f>
        <v>14.3</v>
      </c>
      <c r="L38" s="460">
        <f>2.1+0.6</f>
        <v>2.7</v>
      </c>
      <c r="M38" s="461">
        <f t="shared" si="0"/>
        <v>158.19999999999999</v>
      </c>
      <c r="N38" s="386"/>
      <c r="O38" s="385"/>
    </row>
    <row r="39" spans="1:15" s="375" customFormat="1" ht="17.25" customHeight="1">
      <c r="A39" s="453" t="s">
        <v>52</v>
      </c>
      <c r="B39" s="457">
        <v>107.2</v>
      </c>
      <c r="C39" s="457">
        <v>5.2</v>
      </c>
      <c r="D39" s="457">
        <v>1.2</v>
      </c>
      <c r="E39" s="473">
        <v>0</v>
      </c>
      <c r="F39" s="473">
        <v>0</v>
      </c>
      <c r="G39" s="473">
        <v>0</v>
      </c>
      <c r="H39" s="473">
        <v>0</v>
      </c>
      <c r="I39" s="473">
        <v>0</v>
      </c>
      <c r="J39" s="473">
        <v>0</v>
      </c>
      <c r="K39" s="473">
        <v>0</v>
      </c>
      <c r="L39" s="460">
        <f>2+3+2</f>
        <v>7</v>
      </c>
      <c r="M39" s="461">
        <f t="shared" si="0"/>
        <v>120.60000000000001</v>
      </c>
      <c r="N39" s="386"/>
      <c r="O39" s="385"/>
    </row>
    <row r="40" spans="1:15" s="375" customFormat="1" ht="17.25" customHeight="1">
      <c r="A40" s="270" t="s">
        <v>15</v>
      </c>
      <c r="B40" s="457">
        <f>SUM(B41-B8-B9-B10-B11-B12-B13-B14-B15-B16-B17-B18-B19-B20-B21-B22-B23-B24-B25-B26-B27-B28-B29-B30-B31-B32-B33-B34-B35-B36-B37-B38-B39)</f>
        <v>2674.7999999999984</v>
      </c>
      <c r="C40" s="457">
        <f t="shared" ref="C40:M40" si="1">SUM(C41-C8-C9-C10-C11-C12-C13-C14-C15-C16-C17-C18-C19-C20-C21-C22-C23-C24-C25-C26-C27-C28-C29-C30-C31-C32-C33-C34-C35-C36-C37-C38-C39)</f>
        <v>9238.3999999999978</v>
      </c>
      <c r="D40" s="457">
        <f t="shared" si="1"/>
        <v>2857.8</v>
      </c>
      <c r="E40" s="457">
        <f t="shared" si="1"/>
        <v>944.00000000000011</v>
      </c>
      <c r="F40" s="457">
        <f t="shared" si="1"/>
        <v>54.999999999999986</v>
      </c>
      <c r="G40" s="457">
        <f t="shared" si="1"/>
        <v>46.7</v>
      </c>
      <c r="H40" s="457">
        <f t="shared" si="1"/>
        <v>718.29999999999984</v>
      </c>
      <c r="I40" s="457">
        <f t="shared" si="1"/>
        <v>262.30000000000013</v>
      </c>
      <c r="J40" s="457">
        <f t="shared" si="1"/>
        <v>275.39999999999981</v>
      </c>
      <c r="K40" s="457">
        <f t="shared" si="1"/>
        <v>333.49999999999983</v>
      </c>
      <c r="L40" s="457">
        <f t="shared" si="1"/>
        <v>499.89999999999964</v>
      </c>
      <c r="M40" s="457">
        <f t="shared" si="1"/>
        <v>17906.100000000006</v>
      </c>
      <c r="N40" s="386"/>
      <c r="O40" s="242"/>
    </row>
    <row r="41" spans="1:15" s="375" customFormat="1" ht="17.25" customHeight="1">
      <c r="A41" s="271" t="s">
        <v>0</v>
      </c>
      <c r="B41" s="465">
        <v>12021</v>
      </c>
      <c r="C41" s="465">
        <v>55459</v>
      </c>
      <c r="D41" s="465">
        <v>12159</v>
      </c>
      <c r="E41" s="465">
        <v>5575</v>
      </c>
      <c r="F41" s="465">
        <v>170</v>
      </c>
      <c r="G41" s="465">
        <v>330</v>
      </c>
      <c r="H41" s="465">
        <v>1740</v>
      </c>
      <c r="I41" s="465">
        <v>2077</v>
      </c>
      <c r="J41" s="465">
        <v>3586</v>
      </c>
      <c r="K41" s="465">
        <v>1430</v>
      </c>
      <c r="L41" s="465">
        <v>4050</v>
      </c>
      <c r="M41" s="465">
        <f>SUM(B41:L41)</f>
        <v>98597</v>
      </c>
      <c r="N41" s="184"/>
      <c r="O41" s="385"/>
    </row>
    <row r="42" spans="1:15" s="184" customFormat="1" ht="17.25" customHeight="1">
      <c r="A42" s="150" t="s">
        <v>325</v>
      </c>
      <c r="C42" s="207"/>
      <c r="D42" s="207"/>
      <c r="E42" s="207"/>
      <c r="F42" s="207"/>
      <c r="G42" s="207"/>
    </row>
    <row r="43" spans="1:15" s="375" customFormat="1" ht="17.25" customHeight="1">
      <c r="A43" s="184" t="s">
        <v>326</v>
      </c>
      <c r="B43" s="207"/>
      <c r="C43" s="207"/>
      <c r="D43" s="207"/>
      <c r="E43" s="454"/>
      <c r="F43" s="454"/>
      <c r="G43" s="454"/>
      <c r="H43" s="454"/>
      <c r="I43" s="454"/>
      <c r="J43" s="454"/>
      <c r="K43" s="454"/>
      <c r="L43" s="454"/>
      <c r="M43" s="454"/>
      <c r="N43" s="386"/>
    </row>
    <row r="44" spans="1:15" s="375" customFormat="1" ht="17.25" customHeight="1">
      <c r="A44" s="184" t="s">
        <v>312</v>
      </c>
      <c r="B44" s="207"/>
      <c r="C44" s="267"/>
      <c r="D44" s="158"/>
      <c r="E44" s="273"/>
      <c r="F44" s="273"/>
      <c r="G44" s="273"/>
      <c r="H44" s="273"/>
      <c r="I44" s="273"/>
      <c r="J44" s="273"/>
      <c r="K44" s="274"/>
      <c r="L44" s="275"/>
      <c r="M44" s="275"/>
      <c r="N44" s="386"/>
    </row>
    <row r="45" spans="1:15" s="375" customFormat="1" ht="17.25" customHeight="1">
      <c r="A45" s="272"/>
      <c r="B45" s="273"/>
      <c r="C45" s="273"/>
      <c r="D45" s="273"/>
      <c r="E45" s="273"/>
      <c r="F45" s="273"/>
      <c r="G45" s="273"/>
      <c r="H45" s="273"/>
      <c r="I45" s="273"/>
      <c r="J45" s="273"/>
      <c r="K45" s="274"/>
      <c r="L45" s="275"/>
      <c r="M45" s="273"/>
      <c r="N45" s="386"/>
    </row>
  </sheetData>
  <mergeCells count="5">
    <mergeCell ref="A6:A7"/>
    <mergeCell ref="A2:M2"/>
    <mergeCell ref="A3:M3"/>
    <mergeCell ref="A4:M4"/>
    <mergeCell ref="M6:M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5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28.6640625" style="226" customWidth="1"/>
    <col min="2" max="9" width="11.1640625" style="226" hidden="1" customWidth="1"/>
    <col min="10" max="20" width="12.5" style="226" customWidth="1"/>
    <col min="21" max="16384" width="9.1640625" style="226"/>
  </cols>
  <sheetData>
    <row r="2" spans="1:20" ht="17.25" customHeight="1">
      <c r="A2" s="617" t="s">
        <v>386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0" ht="17.25" customHeight="1">
      <c r="A3" s="616" t="s">
        <v>270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</row>
    <row r="4" spans="1:20" ht="17.25" customHeight="1">
      <c r="A4" s="632" t="s">
        <v>14</v>
      </c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2"/>
      <c r="R4" s="632"/>
      <c r="S4" s="632"/>
      <c r="T4" s="632"/>
    </row>
    <row r="5" spans="1:20" ht="17.25" customHeight="1">
      <c r="A5" s="280"/>
      <c r="B5" s="494"/>
      <c r="C5" s="494"/>
      <c r="D5" s="494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</row>
    <row r="6" spans="1:20" ht="17.25" customHeight="1">
      <c r="A6" s="227" t="s">
        <v>37</v>
      </c>
      <c r="B6" s="228">
        <v>2002</v>
      </c>
      <c r="C6" s="276">
        <v>2003</v>
      </c>
      <c r="D6" s="228">
        <v>2004</v>
      </c>
      <c r="E6" s="229">
        <v>2005</v>
      </c>
      <c r="F6" s="229">
        <v>2006</v>
      </c>
      <c r="G6" s="229">
        <v>2007</v>
      </c>
      <c r="H6" s="229">
        <v>2008</v>
      </c>
      <c r="I6" s="229">
        <v>2009</v>
      </c>
      <c r="J6" s="229">
        <v>2010</v>
      </c>
      <c r="K6" s="229">
        <v>2011</v>
      </c>
      <c r="L6" s="229">
        <v>2012</v>
      </c>
      <c r="M6" s="229">
        <v>2013</v>
      </c>
      <c r="N6" s="229">
        <v>2014</v>
      </c>
      <c r="O6" s="229">
        <v>2015</v>
      </c>
      <c r="P6" s="229">
        <v>2016</v>
      </c>
      <c r="Q6" s="229">
        <v>2017</v>
      </c>
      <c r="R6" s="229">
        <v>2018</v>
      </c>
      <c r="S6" s="229">
        <v>2019</v>
      </c>
      <c r="T6" s="188">
        <v>2020</v>
      </c>
    </row>
    <row r="7" spans="1:20" ht="17.25" customHeight="1">
      <c r="A7" s="277" t="s">
        <v>29</v>
      </c>
      <c r="B7" s="235">
        <v>11143</v>
      </c>
      <c r="C7" s="235">
        <v>12386</v>
      </c>
      <c r="D7" s="235">
        <v>14372</v>
      </c>
      <c r="E7" s="235">
        <v>16458</v>
      </c>
      <c r="F7" s="235">
        <v>18569</v>
      </c>
      <c r="G7" s="235">
        <v>20220</v>
      </c>
      <c r="H7" s="235">
        <v>22346</v>
      </c>
      <c r="I7" s="231">
        <v>24417</v>
      </c>
      <c r="J7" s="433">
        <v>25647</v>
      </c>
      <c r="K7" s="433">
        <v>27770</v>
      </c>
      <c r="L7" s="433">
        <v>30768</v>
      </c>
      <c r="M7" s="433">
        <v>32791</v>
      </c>
      <c r="N7" s="433">
        <v>35766</v>
      </c>
      <c r="O7" s="433">
        <v>38065</v>
      </c>
      <c r="P7" s="433">
        <v>37247</v>
      </c>
      <c r="Q7" s="433">
        <v>42802</v>
      </c>
      <c r="R7" s="433">
        <v>48253</v>
      </c>
      <c r="S7" s="433">
        <v>49673</v>
      </c>
      <c r="T7" s="433">
        <v>47689</v>
      </c>
    </row>
    <row r="8" spans="1:20" ht="17.25" customHeight="1">
      <c r="A8" s="277" t="s">
        <v>246</v>
      </c>
      <c r="B8" s="235">
        <v>16130</v>
      </c>
      <c r="C8" s="235">
        <v>16489</v>
      </c>
      <c r="D8" s="235">
        <v>17316</v>
      </c>
      <c r="E8" s="235">
        <v>18832</v>
      </c>
      <c r="F8" s="235">
        <v>19491</v>
      </c>
      <c r="G8" s="235">
        <v>19118</v>
      </c>
      <c r="H8" s="235">
        <v>19833</v>
      </c>
      <c r="I8" s="231">
        <v>21643</v>
      </c>
      <c r="J8" s="433">
        <v>23256</v>
      </c>
      <c r="K8" s="433">
        <v>23615</v>
      </c>
      <c r="L8" s="433">
        <v>25028</v>
      </c>
      <c r="M8" s="433">
        <v>25769</v>
      </c>
      <c r="N8" s="433">
        <v>26812</v>
      </c>
      <c r="O8" s="433">
        <v>27825</v>
      </c>
      <c r="P8" s="433">
        <v>27723</v>
      </c>
      <c r="Q8" s="433">
        <v>28744</v>
      </c>
      <c r="R8" s="433">
        <v>29334</v>
      </c>
      <c r="S8" s="433">
        <v>26598</v>
      </c>
      <c r="T8" s="433">
        <v>27584</v>
      </c>
    </row>
    <row r="9" spans="1:20" ht="17.25" customHeight="1">
      <c r="A9" s="277" t="s">
        <v>47</v>
      </c>
      <c r="B9" s="279">
        <v>16916</v>
      </c>
      <c r="C9" s="279">
        <v>16802</v>
      </c>
      <c r="D9" s="235">
        <v>16939</v>
      </c>
      <c r="E9" s="235">
        <v>18414</v>
      </c>
      <c r="F9" s="235">
        <v>18798</v>
      </c>
      <c r="G9" s="235">
        <v>19605</v>
      </c>
      <c r="H9" s="235">
        <v>20557</v>
      </c>
      <c r="I9" s="231">
        <v>21756</v>
      </c>
      <c r="J9" s="433">
        <v>22598</v>
      </c>
      <c r="K9" s="433">
        <v>22337</v>
      </c>
      <c r="L9" s="433">
        <v>22838</v>
      </c>
      <c r="M9" s="433">
        <v>22583</v>
      </c>
      <c r="N9" s="433">
        <v>24286</v>
      </c>
      <c r="O9" s="433">
        <v>24351</v>
      </c>
      <c r="P9" s="433">
        <v>2308</v>
      </c>
      <c r="Q9" s="433">
        <v>24418</v>
      </c>
      <c r="R9" s="433">
        <v>25233</v>
      </c>
      <c r="S9" s="433">
        <v>24227</v>
      </c>
      <c r="T9" s="433">
        <v>23474</v>
      </c>
    </row>
    <row r="10" spans="1:20" ht="17.25" customHeight="1">
      <c r="A10" s="277" t="s">
        <v>1</v>
      </c>
      <c r="B10" s="235">
        <v>13533</v>
      </c>
      <c r="C10" s="235">
        <v>15123</v>
      </c>
      <c r="D10" s="235">
        <v>15751</v>
      </c>
      <c r="E10" s="235">
        <v>16914</v>
      </c>
      <c r="F10" s="235">
        <v>17949</v>
      </c>
      <c r="G10" s="235">
        <v>17845</v>
      </c>
      <c r="H10" s="235">
        <v>19977</v>
      </c>
      <c r="I10" s="231">
        <v>19779</v>
      </c>
      <c r="J10" s="433">
        <v>19135</v>
      </c>
      <c r="K10" s="433">
        <v>21200</v>
      </c>
      <c r="L10" s="433">
        <v>21077</v>
      </c>
      <c r="M10" s="433">
        <v>21621</v>
      </c>
      <c r="N10" s="433">
        <v>22080</v>
      </c>
      <c r="O10" s="433">
        <v>22394</v>
      </c>
      <c r="P10" s="433">
        <v>19454</v>
      </c>
      <c r="Q10" s="433">
        <v>22370</v>
      </c>
      <c r="R10" s="433">
        <v>21972</v>
      </c>
      <c r="S10" s="433">
        <v>22360</v>
      </c>
      <c r="T10" s="433">
        <v>21530</v>
      </c>
    </row>
    <row r="11" spans="1:20" ht="17.25" customHeight="1">
      <c r="A11" s="277" t="s">
        <v>264</v>
      </c>
      <c r="B11" s="235">
        <v>15760</v>
      </c>
      <c r="C11" s="235">
        <v>15170</v>
      </c>
      <c r="D11" s="235">
        <v>14781</v>
      </c>
      <c r="E11" s="235">
        <v>15992</v>
      </c>
      <c r="F11" s="235">
        <v>16703</v>
      </c>
      <c r="G11" s="235">
        <v>16809</v>
      </c>
      <c r="H11" s="235">
        <v>16405</v>
      </c>
      <c r="I11" s="231">
        <v>16033</v>
      </c>
      <c r="J11" s="433">
        <v>16088</v>
      </c>
      <c r="K11" s="433">
        <v>16942</v>
      </c>
      <c r="L11" s="433">
        <v>17826</v>
      </c>
      <c r="M11" s="433">
        <v>17924</v>
      </c>
      <c r="N11" s="433">
        <v>17929</v>
      </c>
      <c r="O11" s="433">
        <v>18917</v>
      </c>
      <c r="P11" s="433">
        <v>19805</v>
      </c>
      <c r="Q11" s="433">
        <v>20125</v>
      </c>
      <c r="R11" s="433">
        <v>21154</v>
      </c>
      <c r="S11" s="433">
        <v>21078</v>
      </c>
      <c r="T11" s="433">
        <v>21669</v>
      </c>
    </row>
    <row r="12" spans="1:20" ht="17.25" customHeight="1">
      <c r="A12" s="277" t="s">
        <v>26</v>
      </c>
      <c r="B12" s="235">
        <v>5592</v>
      </c>
      <c r="C12" s="235">
        <v>6305</v>
      </c>
      <c r="D12" s="235">
        <v>6152</v>
      </c>
      <c r="E12" s="235">
        <v>7345</v>
      </c>
      <c r="F12" s="235">
        <v>8169</v>
      </c>
      <c r="G12" s="235">
        <v>8617</v>
      </c>
      <c r="H12" s="235">
        <v>8220</v>
      </c>
      <c r="I12" s="231">
        <v>7663</v>
      </c>
      <c r="J12" s="433">
        <v>8749</v>
      </c>
      <c r="K12" s="433">
        <v>9325</v>
      </c>
      <c r="L12" s="433">
        <v>9076</v>
      </c>
      <c r="M12" s="433">
        <v>9169</v>
      </c>
      <c r="N12" s="433">
        <v>9610</v>
      </c>
      <c r="O12" s="433">
        <v>10338</v>
      </c>
      <c r="P12" s="433">
        <v>10110</v>
      </c>
      <c r="Q12" s="433">
        <v>10768</v>
      </c>
      <c r="R12" s="433">
        <v>11342</v>
      </c>
      <c r="S12" s="433">
        <v>11502</v>
      </c>
      <c r="T12" s="433">
        <v>12199</v>
      </c>
    </row>
    <row r="13" spans="1:20" ht="17.25" customHeight="1">
      <c r="A13" s="277" t="s">
        <v>18</v>
      </c>
      <c r="B13" s="235">
        <v>6356</v>
      </c>
      <c r="C13" s="235">
        <v>6859</v>
      </c>
      <c r="D13" s="235">
        <v>7123</v>
      </c>
      <c r="E13" s="235">
        <v>7378</v>
      </c>
      <c r="F13" s="235">
        <v>7113</v>
      </c>
      <c r="G13" s="235">
        <v>7802</v>
      </c>
      <c r="H13" s="235">
        <v>8072</v>
      </c>
      <c r="I13" s="231">
        <v>7666</v>
      </c>
      <c r="J13" s="433">
        <v>8961</v>
      </c>
      <c r="K13" s="433">
        <v>9631</v>
      </c>
      <c r="L13" s="433">
        <v>9261</v>
      </c>
      <c r="M13" s="433">
        <v>9591</v>
      </c>
      <c r="N13" s="433">
        <v>9727</v>
      </c>
      <c r="O13" s="433">
        <v>8603</v>
      </c>
      <c r="P13" s="433">
        <v>8832</v>
      </c>
      <c r="Q13" s="433">
        <v>9736</v>
      </c>
      <c r="R13" s="433">
        <v>10367</v>
      </c>
      <c r="S13" s="433">
        <v>10067</v>
      </c>
      <c r="T13" s="433">
        <v>10393</v>
      </c>
    </row>
    <row r="14" spans="1:20" ht="17.25" customHeight="1">
      <c r="A14" s="277" t="s">
        <v>39</v>
      </c>
      <c r="B14" s="235">
        <v>7097</v>
      </c>
      <c r="C14" s="235">
        <v>6506</v>
      </c>
      <c r="D14" s="235">
        <v>8291</v>
      </c>
      <c r="E14" s="235">
        <v>8144</v>
      </c>
      <c r="F14" s="235">
        <v>9146</v>
      </c>
      <c r="G14" s="235">
        <v>9161</v>
      </c>
      <c r="H14" s="235">
        <v>9347</v>
      </c>
      <c r="I14" s="231">
        <v>8582</v>
      </c>
      <c r="J14" s="433">
        <v>8537</v>
      </c>
      <c r="K14" s="433">
        <v>9010</v>
      </c>
      <c r="L14" s="433">
        <v>8333</v>
      </c>
      <c r="M14" s="433">
        <v>7955</v>
      </c>
      <c r="N14" s="433">
        <v>8465</v>
      </c>
      <c r="O14" s="433">
        <v>9948</v>
      </c>
      <c r="P14" s="433">
        <v>10233</v>
      </c>
      <c r="Q14" s="433">
        <v>9837</v>
      </c>
      <c r="R14" s="433">
        <v>9078</v>
      </c>
      <c r="S14" s="433">
        <v>9989</v>
      </c>
      <c r="T14" s="433">
        <v>8712</v>
      </c>
    </row>
    <row r="15" spans="1:20" ht="17.25" customHeight="1">
      <c r="A15" s="277" t="s">
        <v>214</v>
      </c>
      <c r="B15" s="235">
        <v>1229</v>
      </c>
      <c r="C15" s="235">
        <v>1593</v>
      </c>
      <c r="D15" s="235">
        <v>1613</v>
      </c>
      <c r="E15" s="235">
        <v>1657</v>
      </c>
      <c r="F15" s="235">
        <v>2397</v>
      </c>
      <c r="G15" s="235">
        <v>2622</v>
      </c>
      <c r="H15" s="235">
        <v>2326</v>
      </c>
      <c r="I15" s="231">
        <v>3188</v>
      </c>
      <c r="J15" s="433">
        <v>3737</v>
      </c>
      <c r="K15" s="433">
        <v>3700</v>
      </c>
      <c r="L15" s="433">
        <v>4929</v>
      </c>
      <c r="M15" s="433">
        <v>4831</v>
      </c>
      <c r="N15" s="433">
        <v>5710</v>
      </c>
      <c r="O15" s="433">
        <v>5425</v>
      </c>
      <c r="P15" s="433">
        <v>5937</v>
      </c>
      <c r="Q15" s="433">
        <v>6600</v>
      </c>
      <c r="R15" s="433">
        <v>6714</v>
      </c>
      <c r="S15" s="433">
        <v>7672</v>
      </c>
      <c r="T15" s="433">
        <v>8368</v>
      </c>
    </row>
    <row r="16" spans="1:20" ht="17.25" customHeight="1">
      <c r="A16" s="277" t="s">
        <v>211</v>
      </c>
      <c r="B16" s="235">
        <v>1722</v>
      </c>
      <c r="C16" s="235">
        <v>2042</v>
      </c>
      <c r="D16" s="235">
        <v>2375</v>
      </c>
      <c r="E16" s="235">
        <v>2668</v>
      </c>
      <c r="F16" s="235">
        <v>3118</v>
      </c>
      <c r="G16" s="235">
        <v>3307</v>
      </c>
      <c r="H16" s="235">
        <v>3156</v>
      </c>
      <c r="I16" s="231">
        <v>3983</v>
      </c>
      <c r="J16" s="433">
        <v>3448</v>
      </c>
      <c r="K16" s="433">
        <v>3710</v>
      </c>
      <c r="L16" s="433">
        <v>4421</v>
      </c>
      <c r="M16" s="433">
        <v>4033</v>
      </c>
      <c r="N16" s="433">
        <v>5270</v>
      </c>
      <c r="O16" s="433">
        <v>4938</v>
      </c>
      <c r="P16" s="433">
        <v>5896</v>
      </c>
      <c r="Q16" s="433">
        <v>6797</v>
      </c>
      <c r="R16" s="433">
        <v>6516</v>
      </c>
      <c r="S16" s="433">
        <v>7538</v>
      </c>
      <c r="T16" s="433">
        <v>7804</v>
      </c>
    </row>
    <row r="17" spans="1:20" ht="17.25" customHeight="1">
      <c r="A17" s="277" t="s">
        <v>41</v>
      </c>
      <c r="B17" s="235">
        <v>1797</v>
      </c>
      <c r="C17" s="235">
        <v>1994</v>
      </c>
      <c r="D17" s="235">
        <v>2272</v>
      </c>
      <c r="E17" s="235">
        <v>2215</v>
      </c>
      <c r="F17" s="235">
        <v>2400</v>
      </c>
      <c r="G17" s="235">
        <v>2448</v>
      </c>
      <c r="H17" s="235">
        <v>2563</v>
      </c>
      <c r="I17" s="231">
        <v>2567</v>
      </c>
      <c r="J17" s="433">
        <v>3285</v>
      </c>
      <c r="K17" s="433">
        <v>3712</v>
      </c>
      <c r="L17" s="433">
        <v>3953</v>
      </c>
      <c r="M17" s="433">
        <v>3658</v>
      </c>
      <c r="N17" s="433">
        <v>3940</v>
      </c>
      <c r="O17" s="433">
        <v>4242</v>
      </c>
      <c r="P17" s="433">
        <v>4770</v>
      </c>
      <c r="Q17" s="433">
        <v>4985</v>
      </c>
      <c r="R17" s="433">
        <v>5111</v>
      </c>
      <c r="S17" s="433">
        <v>5158</v>
      </c>
      <c r="T17" s="433">
        <v>5436</v>
      </c>
    </row>
    <row r="18" spans="1:20" ht="17.25" customHeight="1">
      <c r="A18" s="277" t="s">
        <v>195</v>
      </c>
      <c r="B18" s="235">
        <v>1340</v>
      </c>
      <c r="C18" s="235">
        <v>1454</v>
      </c>
      <c r="D18" s="235">
        <v>1490</v>
      </c>
      <c r="E18" s="235">
        <v>1623</v>
      </c>
      <c r="F18" s="235">
        <v>1667</v>
      </c>
      <c r="G18" s="235">
        <v>1705</v>
      </c>
      <c r="H18" s="235">
        <v>1586</v>
      </c>
      <c r="I18" s="231">
        <v>1661</v>
      </c>
      <c r="J18" s="433">
        <v>1757</v>
      </c>
      <c r="K18" s="433">
        <v>1714</v>
      </c>
      <c r="L18" s="433">
        <v>1693</v>
      </c>
      <c r="M18" s="433">
        <v>1590</v>
      </c>
      <c r="N18" s="433">
        <v>1775</v>
      </c>
      <c r="O18" s="433">
        <v>1802</v>
      </c>
      <c r="P18" s="433">
        <v>1886</v>
      </c>
      <c r="Q18" s="433">
        <v>1969</v>
      </c>
      <c r="R18" s="433">
        <v>2033</v>
      </c>
      <c r="S18" s="433">
        <v>1949</v>
      </c>
      <c r="T18" s="433">
        <v>1976</v>
      </c>
    </row>
    <row r="19" spans="1:20" ht="17.25" customHeight="1">
      <c r="A19" s="277" t="s">
        <v>23</v>
      </c>
      <c r="B19" s="235">
        <v>2038</v>
      </c>
      <c r="C19" s="235">
        <v>2014</v>
      </c>
      <c r="D19" s="235">
        <v>1973</v>
      </c>
      <c r="E19" s="235">
        <v>1896</v>
      </c>
      <c r="F19" s="235">
        <v>1938</v>
      </c>
      <c r="G19" s="235">
        <v>1899</v>
      </c>
      <c r="H19" s="235">
        <v>1861</v>
      </c>
      <c r="I19" s="231">
        <v>1764</v>
      </c>
      <c r="J19" s="433">
        <v>1375</v>
      </c>
      <c r="K19" s="433">
        <v>1524</v>
      </c>
      <c r="L19" s="433">
        <v>1768</v>
      </c>
      <c r="M19" s="433">
        <v>1610</v>
      </c>
      <c r="N19" s="433">
        <v>1707</v>
      </c>
      <c r="O19" s="433">
        <v>1727</v>
      </c>
      <c r="P19" s="433">
        <v>1685</v>
      </c>
      <c r="Q19" s="433">
        <v>1886</v>
      </c>
      <c r="R19" s="433">
        <v>2032</v>
      </c>
      <c r="S19" s="433">
        <v>2094</v>
      </c>
      <c r="T19" s="433">
        <v>2211</v>
      </c>
    </row>
    <row r="20" spans="1:20" ht="17.25" customHeight="1">
      <c r="A20" s="277" t="s">
        <v>20</v>
      </c>
      <c r="B20" s="235">
        <v>1498</v>
      </c>
      <c r="C20" s="235">
        <v>1707</v>
      </c>
      <c r="D20" s="235">
        <v>1453</v>
      </c>
      <c r="E20" s="235">
        <v>1523</v>
      </c>
      <c r="F20" s="235">
        <v>1518</v>
      </c>
      <c r="G20" s="235">
        <v>1410</v>
      </c>
      <c r="H20" s="235">
        <v>1489</v>
      </c>
      <c r="I20" s="231">
        <v>1498</v>
      </c>
      <c r="J20" s="433">
        <v>1816</v>
      </c>
      <c r="K20" s="433">
        <v>1767</v>
      </c>
      <c r="L20" s="433">
        <v>1785</v>
      </c>
      <c r="M20" s="433">
        <v>1767</v>
      </c>
      <c r="N20" s="433">
        <v>1802</v>
      </c>
      <c r="O20" s="433">
        <v>1834</v>
      </c>
      <c r="P20" s="433">
        <v>1820</v>
      </c>
      <c r="Q20" s="433">
        <v>1874</v>
      </c>
      <c r="R20" s="433">
        <v>1849</v>
      </c>
      <c r="S20" s="433">
        <v>1848</v>
      </c>
      <c r="T20" s="433">
        <v>1770</v>
      </c>
    </row>
    <row r="21" spans="1:20" ht="17.25" customHeight="1">
      <c r="A21" s="230" t="s">
        <v>15</v>
      </c>
      <c r="B21" s="235">
        <f>SUM(B22-B7-B8-B9-B10-B11-B12-B13-B14-B15-B16-B17-B18-B19-B20)</f>
        <v>18572</v>
      </c>
      <c r="C21" s="235">
        <f t="shared" ref="C21:I21" si="0">SUM(C22-C7-C8-C9-C10-C11-C12-C13-C14-C15-C16-C17-C18-C19-C20)</f>
        <v>19178</v>
      </c>
      <c r="D21" s="235">
        <f t="shared" si="0"/>
        <v>20497</v>
      </c>
      <c r="E21" s="235">
        <f t="shared" si="0"/>
        <v>20032</v>
      </c>
      <c r="F21" s="235">
        <f t="shared" si="0"/>
        <v>21022</v>
      </c>
      <c r="G21" s="235">
        <f t="shared" si="0"/>
        <v>21568</v>
      </c>
      <c r="H21" s="235">
        <f t="shared" si="0"/>
        <v>22354</v>
      </c>
      <c r="I21" s="235">
        <f t="shared" si="0"/>
        <v>23120</v>
      </c>
      <c r="J21" s="235">
        <f>SUM(J22-J7-J8-J9-J10-J11-J12-J13-J14-J15-J16-J17-J18-J19-J20)</f>
        <v>24178</v>
      </c>
      <c r="K21" s="235">
        <f t="shared" ref="K21:T21" si="1">SUM(K22-K7-K8-K9-K10-K11-K12-K13-K14-K15-K16-K17-K18-K19-K20)</f>
        <v>24368</v>
      </c>
      <c r="L21" s="235">
        <f t="shared" si="1"/>
        <v>25710</v>
      </c>
      <c r="M21" s="235">
        <f t="shared" si="1"/>
        <v>27176</v>
      </c>
      <c r="N21" s="235">
        <f t="shared" si="1"/>
        <v>27596</v>
      </c>
      <c r="O21" s="235">
        <f t="shared" si="1"/>
        <v>28707.299999999988</v>
      </c>
      <c r="P21" s="235">
        <f t="shared" si="1"/>
        <v>50202.5</v>
      </c>
      <c r="Q21" s="235">
        <f t="shared" si="1"/>
        <v>31261.200000000012</v>
      </c>
      <c r="R21" s="235">
        <f t="shared" si="1"/>
        <v>33280</v>
      </c>
      <c r="S21" s="235">
        <f t="shared" si="1"/>
        <v>35057</v>
      </c>
      <c r="T21" s="235">
        <f t="shared" si="1"/>
        <v>35238</v>
      </c>
    </row>
    <row r="22" spans="1:20" ht="17.25" customHeight="1">
      <c r="A22" s="233" t="s">
        <v>151</v>
      </c>
      <c r="B22" s="234">
        <v>120723</v>
      </c>
      <c r="C22" s="234">
        <v>125622</v>
      </c>
      <c r="D22" s="234">
        <v>132398</v>
      </c>
      <c r="E22" s="234">
        <v>141091</v>
      </c>
      <c r="F22" s="234">
        <v>149998</v>
      </c>
      <c r="G22" s="234">
        <v>154136</v>
      </c>
      <c r="H22" s="234">
        <v>160092</v>
      </c>
      <c r="I22" s="234">
        <v>165320</v>
      </c>
      <c r="J22" s="234">
        <v>172567</v>
      </c>
      <c r="K22" s="234">
        <v>180325</v>
      </c>
      <c r="L22" s="234">
        <v>188466</v>
      </c>
      <c r="M22" s="234">
        <v>192068</v>
      </c>
      <c r="N22" s="234">
        <v>202475</v>
      </c>
      <c r="O22" s="234">
        <v>209116.3</v>
      </c>
      <c r="P22" s="234">
        <v>207908.5</v>
      </c>
      <c r="Q22" s="234">
        <v>224172.2</v>
      </c>
      <c r="R22" s="234">
        <v>234268</v>
      </c>
      <c r="S22" s="234">
        <v>236810</v>
      </c>
      <c r="T22" s="234">
        <v>236053</v>
      </c>
    </row>
    <row r="23" spans="1:20" s="184" customFormat="1" ht="17.25" customHeight="1">
      <c r="A23" s="184" t="s">
        <v>312</v>
      </c>
      <c r="B23" s="207">
        <f t="shared" ref="B23:I23" si="2">SUM(B7:B20)</f>
        <v>102151</v>
      </c>
      <c r="C23" s="207">
        <f t="shared" si="2"/>
        <v>106444</v>
      </c>
      <c r="D23" s="207">
        <f t="shared" si="2"/>
        <v>111901</v>
      </c>
      <c r="E23" s="207">
        <f t="shared" si="2"/>
        <v>121059</v>
      </c>
      <c r="F23" s="207">
        <f t="shared" si="2"/>
        <v>128976</v>
      </c>
      <c r="G23" s="207">
        <f t="shared" si="2"/>
        <v>132568</v>
      </c>
      <c r="H23" s="207">
        <f t="shared" si="2"/>
        <v>137738</v>
      </c>
      <c r="I23" s="207">
        <f t="shared" si="2"/>
        <v>142200</v>
      </c>
    </row>
    <row r="24" spans="1:20" ht="17.25" customHeight="1">
      <c r="A24" s="184"/>
    </row>
    <row r="25" spans="1:20" ht="17.25" customHeight="1">
      <c r="A25" s="184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3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28.6640625" style="226" customWidth="1"/>
    <col min="2" max="9" width="12.5" style="226" hidden="1" customWidth="1"/>
    <col min="10" max="20" width="12.5" style="226" customWidth="1"/>
    <col min="21" max="16384" width="9.1640625" style="226"/>
  </cols>
  <sheetData>
    <row r="2" spans="1:20" ht="17.25" customHeight="1">
      <c r="A2" s="617" t="s">
        <v>385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0" ht="17.25" customHeight="1">
      <c r="A3" s="616" t="s">
        <v>231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</row>
    <row r="4" spans="1:20" ht="17.25" customHeight="1">
      <c r="A4" s="632" t="s">
        <v>14</v>
      </c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2"/>
      <c r="R4" s="632"/>
      <c r="S4" s="632"/>
      <c r="T4" s="632"/>
    </row>
    <row r="5" spans="1:20" ht="17.25" customHeight="1">
      <c r="A5" s="280"/>
      <c r="B5" s="494"/>
      <c r="C5" s="494"/>
      <c r="D5" s="494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</row>
    <row r="6" spans="1:20" ht="17.25" customHeight="1">
      <c r="A6" s="227" t="s">
        <v>37</v>
      </c>
      <c r="B6" s="228">
        <v>2002</v>
      </c>
      <c r="C6" s="276">
        <v>2003</v>
      </c>
      <c r="D6" s="228">
        <v>2004</v>
      </c>
      <c r="E6" s="229">
        <v>2005</v>
      </c>
      <c r="F6" s="229">
        <v>2006</v>
      </c>
      <c r="G6" s="229">
        <v>2007</v>
      </c>
      <c r="H6" s="229">
        <v>2008</v>
      </c>
      <c r="I6" s="229">
        <v>2009</v>
      </c>
      <c r="J6" s="229">
        <v>2010</v>
      </c>
      <c r="K6" s="229">
        <v>2011</v>
      </c>
      <c r="L6" s="229">
        <v>2012</v>
      </c>
      <c r="M6" s="229">
        <v>2013</v>
      </c>
      <c r="N6" s="229">
        <v>2014</v>
      </c>
      <c r="O6" s="229">
        <v>2015</v>
      </c>
      <c r="P6" s="229">
        <v>2016</v>
      </c>
      <c r="Q6" s="229">
        <v>2017</v>
      </c>
      <c r="R6" s="229">
        <v>2018</v>
      </c>
      <c r="S6" s="229">
        <v>2019</v>
      </c>
      <c r="T6" s="188">
        <v>2020</v>
      </c>
    </row>
    <row r="7" spans="1:20" ht="17.25" customHeight="1">
      <c r="A7" s="230" t="s">
        <v>18</v>
      </c>
      <c r="B7" s="231">
        <v>5169</v>
      </c>
      <c r="C7" s="231">
        <v>5465</v>
      </c>
      <c r="D7" s="231">
        <v>4791</v>
      </c>
      <c r="E7" s="231">
        <v>5477</v>
      </c>
      <c r="F7" s="231">
        <v>5149</v>
      </c>
      <c r="G7" s="231">
        <v>5317</v>
      </c>
      <c r="H7" s="231">
        <v>6847</v>
      </c>
      <c r="I7" s="231">
        <v>8925</v>
      </c>
      <c r="J7" s="231">
        <v>9168</v>
      </c>
      <c r="K7" s="231">
        <v>8785</v>
      </c>
      <c r="L7" s="231">
        <v>10474</v>
      </c>
      <c r="M7" s="231">
        <v>11161</v>
      </c>
      <c r="N7" s="278">
        <v>12206</v>
      </c>
      <c r="O7" s="231">
        <v>15302</v>
      </c>
      <c r="P7" s="321">
        <v>14360</v>
      </c>
      <c r="Q7" s="321">
        <v>15451</v>
      </c>
      <c r="R7" s="321">
        <v>14916</v>
      </c>
      <c r="S7" s="321">
        <v>15884</v>
      </c>
      <c r="T7" s="321">
        <v>14023</v>
      </c>
    </row>
    <row r="8" spans="1:20" ht="17.25" customHeight="1">
      <c r="A8" s="230" t="s">
        <v>47</v>
      </c>
      <c r="B8" s="231">
        <v>6206</v>
      </c>
      <c r="C8" s="231">
        <v>6399</v>
      </c>
      <c r="D8" s="231">
        <v>6899</v>
      </c>
      <c r="E8" s="231">
        <v>8029</v>
      </c>
      <c r="F8" s="231">
        <v>9816</v>
      </c>
      <c r="G8" s="231">
        <v>9720</v>
      </c>
      <c r="H8" s="231">
        <v>10103</v>
      </c>
      <c r="I8" s="231">
        <v>9901</v>
      </c>
      <c r="J8" s="231">
        <v>10037</v>
      </c>
      <c r="K8" s="231">
        <v>9621</v>
      </c>
      <c r="L8" s="231">
        <v>10078</v>
      </c>
      <c r="M8" s="231">
        <v>11002</v>
      </c>
      <c r="N8" s="278">
        <v>10938</v>
      </c>
      <c r="O8" s="231">
        <v>10954</v>
      </c>
      <c r="P8" s="321">
        <v>11776</v>
      </c>
      <c r="Q8" s="321">
        <v>12922</v>
      </c>
      <c r="R8" s="321">
        <v>12734</v>
      </c>
      <c r="S8" s="321">
        <v>14106</v>
      </c>
      <c r="T8" s="321">
        <v>13863</v>
      </c>
    </row>
    <row r="9" spans="1:20" ht="17.25" customHeight="1">
      <c r="A9" s="230" t="s">
        <v>246</v>
      </c>
      <c r="B9" s="231">
        <v>4354</v>
      </c>
      <c r="C9" s="231">
        <v>6203</v>
      </c>
      <c r="D9" s="231">
        <v>7410</v>
      </c>
      <c r="E9" s="231">
        <v>6970</v>
      </c>
      <c r="F9" s="231">
        <v>8011</v>
      </c>
      <c r="G9" s="231">
        <v>9795</v>
      </c>
      <c r="H9" s="231">
        <v>9490</v>
      </c>
      <c r="I9" s="231">
        <v>10809</v>
      </c>
      <c r="J9" s="231">
        <v>9751</v>
      </c>
      <c r="K9" s="231">
        <v>9215</v>
      </c>
      <c r="L9" s="231">
        <v>11073</v>
      </c>
      <c r="M9" s="231">
        <v>10618</v>
      </c>
      <c r="N9" s="278">
        <v>9266</v>
      </c>
      <c r="O9" s="231">
        <v>9774</v>
      </c>
      <c r="P9" s="321">
        <v>8131</v>
      </c>
      <c r="Q9" s="321">
        <v>8818</v>
      </c>
      <c r="R9" s="321">
        <v>9625</v>
      </c>
      <c r="S9" s="321">
        <v>13255</v>
      </c>
      <c r="T9" s="321">
        <v>13724</v>
      </c>
    </row>
    <row r="10" spans="1:20" ht="17.25" customHeight="1">
      <c r="A10" s="230" t="s">
        <v>264</v>
      </c>
      <c r="B10" s="231">
        <v>1830</v>
      </c>
      <c r="C10" s="231">
        <v>1672</v>
      </c>
      <c r="D10" s="231">
        <v>2175</v>
      </c>
      <c r="E10" s="231">
        <v>2190</v>
      </c>
      <c r="F10" s="231">
        <v>2635</v>
      </c>
      <c r="G10" s="231">
        <v>2875</v>
      </c>
      <c r="H10" s="231">
        <v>3392</v>
      </c>
      <c r="I10" s="231">
        <v>3317</v>
      </c>
      <c r="J10" s="231">
        <v>3498</v>
      </c>
      <c r="K10" s="231">
        <v>4056</v>
      </c>
      <c r="L10" s="231">
        <v>3886</v>
      </c>
      <c r="M10" s="231">
        <v>4164</v>
      </c>
      <c r="N10" s="278">
        <v>4286</v>
      </c>
      <c r="O10" s="231">
        <v>4559</v>
      </c>
      <c r="P10" s="321">
        <v>4892</v>
      </c>
      <c r="Q10" s="321">
        <v>5053</v>
      </c>
      <c r="R10" s="321">
        <v>5109</v>
      </c>
      <c r="S10" s="321">
        <v>5246</v>
      </c>
      <c r="T10" s="321">
        <v>5232</v>
      </c>
    </row>
    <row r="11" spans="1:20" ht="17.25" customHeight="1">
      <c r="A11" s="230" t="s">
        <v>195</v>
      </c>
      <c r="B11" s="231">
        <v>1526</v>
      </c>
      <c r="C11" s="231">
        <v>1752</v>
      </c>
      <c r="D11" s="231">
        <v>1573</v>
      </c>
      <c r="E11" s="231">
        <v>1781</v>
      </c>
      <c r="F11" s="231">
        <v>1908</v>
      </c>
      <c r="G11" s="231">
        <v>1904</v>
      </c>
      <c r="H11" s="231">
        <v>2001</v>
      </c>
      <c r="I11" s="231">
        <v>2089</v>
      </c>
      <c r="J11" s="231">
        <v>2173</v>
      </c>
      <c r="K11" s="231">
        <v>2147</v>
      </c>
      <c r="L11" s="231">
        <v>2151</v>
      </c>
      <c r="M11" s="231">
        <v>2524</v>
      </c>
      <c r="N11" s="278">
        <v>2635</v>
      </c>
      <c r="O11" s="231">
        <v>3048</v>
      </c>
      <c r="P11" s="321">
        <v>2891</v>
      </c>
      <c r="Q11" s="321">
        <v>3189</v>
      </c>
      <c r="R11" s="321">
        <v>3142</v>
      </c>
      <c r="S11" s="321">
        <v>3352</v>
      </c>
      <c r="T11" s="321">
        <v>3223</v>
      </c>
    </row>
    <row r="12" spans="1:20" ht="17.25" customHeight="1">
      <c r="A12" s="230" t="s">
        <v>16</v>
      </c>
      <c r="B12" s="231">
        <v>880</v>
      </c>
      <c r="C12" s="231">
        <v>908</v>
      </c>
      <c r="D12" s="231">
        <v>797</v>
      </c>
      <c r="E12" s="231">
        <v>1238</v>
      </c>
      <c r="F12" s="231">
        <v>1577</v>
      </c>
      <c r="G12" s="231">
        <v>980</v>
      </c>
      <c r="H12" s="231">
        <v>1247</v>
      </c>
      <c r="I12" s="231">
        <v>1113</v>
      </c>
      <c r="J12" s="231">
        <v>1438</v>
      </c>
      <c r="K12" s="231">
        <v>1403</v>
      </c>
      <c r="L12" s="231">
        <v>1406</v>
      </c>
      <c r="M12" s="231">
        <v>1643</v>
      </c>
      <c r="N12" s="278">
        <v>1772</v>
      </c>
      <c r="O12" s="231">
        <v>2067</v>
      </c>
      <c r="P12" s="321">
        <v>2140</v>
      </c>
      <c r="Q12" s="321">
        <v>2452</v>
      </c>
      <c r="R12" s="321">
        <v>2623</v>
      </c>
      <c r="S12" s="321">
        <v>2409</v>
      </c>
      <c r="T12" s="321">
        <v>2139</v>
      </c>
    </row>
    <row r="13" spans="1:20" ht="17.25" customHeight="1">
      <c r="A13" s="230" t="s">
        <v>42</v>
      </c>
      <c r="B13" s="231">
        <v>1150</v>
      </c>
      <c r="C13" s="231">
        <v>999</v>
      </c>
      <c r="D13" s="231">
        <v>1182</v>
      </c>
      <c r="E13" s="231">
        <v>1169</v>
      </c>
      <c r="F13" s="231">
        <v>1121</v>
      </c>
      <c r="G13" s="231">
        <v>1172</v>
      </c>
      <c r="H13" s="231">
        <v>1235</v>
      </c>
      <c r="I13" s="231">
        <v>1181</v>
      </c>
      <c r="J13" s="231">
        <v>1229</v>
      </c>
      <c r="K13" s="231">
        <v>1228</v>
      </c>
      <c r="L13" s="231">
        <v>1364</v>
      </c>
      <c r="M13" s="231">
        <v>1274</v>
      </c>
      <c r="N13" s="278">
        <v>1221</v>
      </c>
      <c r="O13" s="231">
        <v>1384</v>
      </c>
      <c r="P13" s="321">
        <v>1415</v>
      </c>
      <c r="Q13" s="321">
        <v>1373</v>
      </c>
      <c r="R13" s="321">
        <v>1339</v>
      </c>
      <c r="S13" s="321">
        <v>1297</v>
      </c>
      <c r="T13" s="321">
        <v>1273</v>
      </c>
    </row>
    <row r="14" spans="1:20" ht="17.25" customHeight="1">
      <c r="A14" s="230" t="s">
        <v>23</v>
      </c>
      <c r="B14" s="231">
        <v>806</v>
      </c>
      <c r="C14" s="231">
        <v>915</v>
      </c>
      <c r="D14" s="231">
        <v>1231</v>
      </c>
      <c r="E14" s="231">
        <v>1131</v>
      </c>
      <c r="F14" s="231">
        <v>1254</v>
      </c>
      <c r="G14" s="231">
        <v>975</v>
      </c>
      <c r="H14" s="231">
        <v>1296</v>
      </c>
      <c r="I14" s="231">
        <v>1605</v>
      </c>
      <c r="J14" s="231">
        <v>999</v>
      </c>
      <c r="K14" s="231">
        <v>1179</v>
      </c>
      <c r="L14" s="231">
        <v>1451</v>
      </c>
      <c r="M14" s="231">
        <v>1518</v>
      </c>
      <c r="N14" s="278">
        <v>1733</v>
      </c>
      <c r="O14" s="231">
        <v>1697</v>
      </c>
      <c r="P14" s="321">
        <v>1624</v>
      </c>
      <c r="Q14" s="321">
        <v>1498</v>
      </c>
      <c r="R14" s="321">
        <v>1329</v>
      </c>
      <c r="S14" s="321">
        <v>1445</v>
      </c>
      <c r="T14" s="321">
        <v>1690</v>
      </c>
    </row>
    <row r="15" spans="1:20" ht="17.25" customHeight="1">
      <c r="A15" s="230" t="s">
        <v>1</v>
      </c>
      <c r="B15" s="231">
        <v>1183</v>
      </c>
      <c r="C15" s="231">
        <v>1061</v>
      </c>
      <c r="D15" s="231">
        <v>940</v>
      </c>
      <c r="E15" s="231">
        <v>1127</v>
      </c>
      <c r="F15" s="231">
        <v>990</v>
      </c>
      <c r="G15" s="231">
        <v>1091</v>
      </c>
      <c r="H15" s="231">
        <v>1213</v>
      </c>
      <c r="I15" s="231">
        <v>868</v>
      </c>
      <c r="J15" s="231">
        <v>2057</v>
      </c>
      <c r="K15" s="231">
        <v>2729</v>
      </c>
      <c r="L15" s="231">
        <v>2512</v>
      </c>
      <c r="M15" s="231">
        <v>1376</v>
      </c>
      <c r="N15" s="278">
        <v>1293</v>
      </c>
      <c r="O15" s="231">
        <v>2091</v>
      </c>
      <c r="P15" s="321">
        <v>1270</v>
      </c>
      <c r="Q15" s="321">
        <v>1344</v>
      </c>
      <c r="R15" s="321">
        <v>1701</v>
      </c>
      <c r="S15" s="321">
        <v>2111</v>
      </c>
      <c r="T15" s="321">
        <v>1870</v>
      </c>
    </row>
    <row r="16" spans="1:20" ht="17.25" customHeight="1">
      <c r="A16" s="230" t="s">
        <v>214</v>
      </c>
      <c r="B16" s="231">
        <v>599</v>
      </c>
      <c r="C16" s="231">
        <v>549</v>
      </c>
      <c r="D16" s="231">
        <v>654</v>
      </c>
      <c r="E16" s="231">
        <v>733</v>
      </c>
      <c r="F16" s="231">
        <v>764</v>
      </c>
      <c r="G16" s="231">
        <v>789</v>
      </c>
      <c r="H16" s="231">
        <v>757</v>
      </c>
      <c r="I16" s="231">
        <v>831</v>
      </c>
      <c r="J16" s="231">
        <v>1054</v>
      </c>
      <c r="K16" s="231">
        <v>1033</v>
      </c>
      <c r="L16" s="231">
        <v>978</v>
      </c>
      <c r="M16" s="231">
        <v>1085</v>
      </c>
      <c r="N16" s="278">
        <v>1065</v>
      </c>
      <c r="O16" s="231">
        <v>1176</v>
      </c>
      <c r="P16" s="321">
        <v>1164</v>
      </c>
      <c r="Q16" s="321">
        <v>1172</v>
      </c>
      <c r="R16" s="321">
        <v>1451</v>
      </c>
      <c r="S16" s="321">
        <v>1544</v>
      </c>
      <c r="T16" s="321">
        <v>1520</v>
      </c>
    </row>
    <row r="17" spans="1:20" ht="17.25" customHeight="1">
      <c r="A17" s="230" t="s">
        <v>19</v>
      </c>
      <c r="B17" s="231">
        <v>760</v>
      </c>
      <c r="C17" s="231">
        <v>809</v>
      </c>
      <c r="D17" s="231">
        <v>881</v>
      </c>
      <c r="E17" s="231">
        <v>956</v>
      </c>
      <c r="F17" s="231">
        <v>910</v>
      </c>
      <c r="G17" s="231">
        <v>929</v>
      </c>
      <c r="H17" s="231">
        <v>966</v>
      </c>
      <c r="I17" s="231">
        <v>874</v>
      </c>
      <c r="J17" s="231">
        <v>1372</v>
      </c>
      <c r="K17" s="231">
        <v>1396</v>
      </c>
      <c r="L17" s="231">
        <v>1664</v>
      </c>
      <c r="M17" s="231">
        <v>2095</v>
      </c>
      <c r="N17" s="278">
        <v>1401</v>
      </c>
      <c r="O17" s="231">
        <v>1327</v>
      </c>
      <c r="P17" s="321">
        <v>1162</v>
      </c>
      <c r="Q17" s="321">
        <v>1413</v>
      </c>
      <c r="R17" s="321">
        <v>1205</v>
      </c>
      <c r="S17" s="321">
        <v>1705</v>
      </c>
      <c r="T17" s="321">
        <v>1134</v>
      </c>
    </row>
    <row r="18" spans="1:20" ht="17.25" customHeight="1">
      <c r="A18" s="230" t="s">
        <v>159</v>
      </c>
      <c r="B18" s="231">
        <v>200</v>
      </c>
      <c r="C18" s="231">
        <v>274</v>
      </c>
      <c r="D18" s="231">
        <v>349</v>
      </c>
      <c r="E18" s="231">
        <v>468</v>
      </c>
      <c r="F18" s="231">
        <v>566</v>
      </c>
      <c r="G18" s="231">
        <v>554</v>
      </c>
      <c r="H18" s="231">
        <v>584</v>
      </c>
      <c r="I18" s="231">
        <v>568</v>
      </c>
      <c r="J18" s="231">
        <v>895</v>
      </c>
      <c r="K18" s="231">
        <v>905</v>
      </c>
      <c r="L18" s="231">
        <v>945</v>
      </c>
      <c r="M18" s="231">
        <v>831</v>
      </c>
      <c r="N18" s="278">
        <v>976</v>
      </c>
      <c r="O18" s="231">
        <v>943</v>
      </c>
      <c r="P18" s="321">
        <v>979</v>
      </c>
      <c r="Q18" s="321">
        <v>1112</v>
      </c>
      <c r="R18" s="321">
        <v>1192</v>
      </c>
      <c r="S18" s="321">
        <v>1332</v>
      </c>
      <c r="T18" s="321">
        <v>1281</v>
      </c>
    </row>
    <row r="19" spans="1:20" ht="17.25" customHeight="1">
      <c r="A19" s="230" t="s">
        <v>15</v>
      </c>
      <c r="B19" s="235">
        <f>SUM(B20-B7-B8-B9-B10-B11-B12-B13-B14-B15-B16-B17-B18)</f>
        <v>15942</v>
      </c>
      <c r="C19" s="235">
        <f t="shared" ref="C19:I19" si="0">SUM(C20-C7-C8-C9-C10-C11-C12-C13-C14-C15-C16-C17-C18)</f>
        <v>17021</v>
      </c>
      <c r="D19" s="235">
        <f t="shared" si="0"/>
        <v>17973</v>
      </c>
      <c r="E19" s="235">
        <f t="shared" si="0"/>
        <v>19692</v>
      </c>
      <c r="F19" s="235">
        <f t="shared" si="0"/>
        <v>21660</v>
      </c>
      <c r="G19" s="235">
        <f t="shared" si="0"/>
        <v>21891</v>
      </c>
      <c r="H19" s="235">
        <f t="shared" si="0"/>
        <v>22441</v>
      </c>
      <c r="I19" s="235">
        <f t="shared" si="0"/>
        <v>22014</v>
      </c>
      <c r="J19" s="235">
        <f>SUM(J20-J7-J8-J9-J10-J11-J12-J13-J14-J15-J16-J17-J18)</f>
        <v>22930</v>
      </c>
      <c r="K19" s="235">
        <f t="shared" ref="K19:T19" si="1">SUM(K20-K7-K8-K9-K10-K11-K12-K13-K14-K15-K16-K17-K18)</f>
        <v>24234</v>
      </c>
      <c r="L19" s="235">
        <f t="shared" si="1"/>
        <v>25098</v>
      </c>
      <c r="M19" s="235">
        <f t="shared" si="1"/>
        <v>26198</v>
      </c>
      <c r="N19" s="235">
        <f t="shared" si="1"/>
        <v>28528</v>
      </c>
      <c r="O19" s="235">
        <f t="shared" si="1"/>
        <v>29061.800000000003</v>
      </c>
      <c r="P19" s="235">
        <f t="shared" si="1"/>
        <v>29674.5</v>
      </c>
      <c r="Q19" s="235">
        <f t="shared" si="1"/>
        <v>32467.100000000006</v>
      </c>
      <c r="R19" s="235">
        <f t="shared" si="1"/>
        <v>33013</v>
      </c>
      <c r="S19" s="235">
        <f t="shared" si="1"/>
        <v>34911</v>
      </c>
      <c r="T19" s="235">
        <f t="shared" si="1"/>
        <v>34786</v>
      </c>
    </row>
    <row r="20" spans="1:20" ht="17.25" customHeight="1">
      <c r="A20" s="233" t="s">
        <v>151</v>
      </c>
      <c r="B20" s="234">
        <v>40605</v>
      </c>
      <c r="C20" s="234">
        <v>44027</v>
      </c>
      <c r="D20" s="234">
        <v>46855</v>
      </c>
      <c r="E20" s="234">
        <v>50961</v>
      </c>
      <c r="F20" s="234">
        <v>56361</v>
      </c>
      <c r="G20" s="234">
        <v>57992</v>
      </c>
      <c r="H20" s="234">
        <v>61572</v>
      </c>
      <c r="I20" s="234">
        <v>64095</v>
      </c>
      <c r="J20" s="234">
        <v>66601</v>
      </c>
      <c r="K20" s="234">
        <v>67931</v>
      </c>
      <c r="L20" s="234">
        <v>73080</v>
      </c>
      <c r="M20" s="234">
        <v>75489</v>
      </c>
      <c r="N20" s="234">
        <v>77320</v>
      </c>
      <c r="O20" s="234">
        <v>83383.8</v>
      </c>
      <c r="P20" s="234">
        <v>81478.5</v>
      </c>
      <c r="Q20" s="234">
        <v>88264.1</v>
      </c>
      <c r="R20" s="234">
        <v>89379</v>
      </c>
      <c r="S20" s="234">
        <v>98597</v>
      </c>
      <c r="T20" s="234">
        <v>95758</v>
      </c>
    </row>
    <row r="21" spans="1:20" s="184" customFormat="1" ht="17.25" customHeight="1">
      <c r="A21" s="184" t="s">
        <v>330</v>
      </c>
      <c r="B21" s="207"/>
      <c r="C21" s="207"/>
      <c r="D21" s="207"/>
      <c r="E21" s="207"/>
      <c r="F21" s="207"/>
      <c r="G21" s="207"/>
    </row>
    <row r="22" spans="1:20" ht="17.25" customHeight="1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</row>
    <row r="23" spans="1:20" ht="17.25" customHeight="1">
      <c r="A23" s="184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2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28.6640625" style="226" customWidth="1"/>
    <col min="2" max="9" width="12" style="226" hidden="1" customWidth="1"/>
    <col min="10" max="15" width="12.5" style="226" customWidth="1"/>
    <col min="16" max="16" width="12.5" style="278" customWidth="1"/>
    <col min="17" max="20" width="12.5" style="226" customWidth="1"/>
    <col min="21" max="16384" width="9.1640625" style="226"/>
  </cols>
  <sheetData>
    <row r="2" spans="1:20" s="278" customFormat="1" ht="17.25" customHeight="1">
      <c r="A2" s="617" t="s">
        <v>384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0" s="278" customFormat="1" ht="17.25" customHeight="1">
      <c r="A3" s="616" t="s">
        <v>276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</row>
    <row r="4" spans="1:20" s="278" customFormat="1" ht="17.25" customHeight="1">
      <c r="A4" s="616" t="s">
        <v>14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</row>
    <row r="5" spans="1:20" s="278" customFormat="1" ht="17.25" customHeight="1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</row>
    <row r="6" spans="1:20" s="278" customFormat="1" ht="17.25" customHeight="1">
      <c r="A6" s="229" t="s">
        <v>37</v>
      </c>
      <c r="B6" s="281">
        <v>2010</v>
      </c>
      <c r="C6" s="281">
        <v>2011</v>
      </c>
      <c r="D6" s="281">
        <v>2012</v>
      </c>
      <c r="E6" s="281">
        <v>2013</v>
      </c>
      <c r="F6" s="281">
        <v>2014</v>
      </c>
      <c r="G6" s="281">
        <v>2015</v>
      </c>
      <c r="H6" s="281">
        <v>2016</v>
      </c>
      <c r="I6" s="281">
        <v>2017</v>
      </c>
      <c r="J6" s="281">
        <v>2010</v>
      </c>
      <c r="K6" s="281">
        <v>2011</v>
      </c>
      <c r="L6" s="281">
        <v>2012</v>
      </c>
      <c r="M6" s="281">
        <v>2013</v>
      </c>
      <c r="N6" s="281">
        <v>2014</v>
      </c>
      <c r="O6" s="281">
        <v>2015</v>
      </c>
      <c r="P6" s="281">
        <v>2016</v>
      </c>
      <c r="Q6" s="281">
        <v>2017</v>
      </c>
      <c r="R6" s="281">
        <v>2018</v>
      </c>
      <c r="S6" s="281">
        <v>2019</v>
      </c>
      <c r="T6" s="188">
        <v>2020</v>
      </c>
    </row>
    <row r="7" spans="1:20" s="278" customFormat="1" ht="17.25" customHeight="1">
      <c r="A7" s="232" t="s">
        <v>29</v>
      </c>
      <c r="B7" s="231">
        <v>18785</v>
      </c>
      <c r="C7" s="231">
        <v>19383</v>
      </c>
      <c r="D7" s="231">
        <v>21567</v>
      </c>
      <c r="E7" s="231">
        <v>23828</v>
      </c>
      <c r="F7" s="231">
        <v>25371</v>
      </c>
      <c r="G7" s="231">
        <v>29203</v>
      </c>
      <c r="H7" s="231">
        <v>25639</v>
      </c>
      <c r="I7" s="231">
        <v>29706</v>
      </c>
      <c r="J7" s="231">
        <v>18785</v>
      </c>
      <c r="K7" s="231">
        <v>19383</v>
      </c>
      <c r="L7" s="231">
        <v>21567</v>
      </c>
      <c r="M7" s="231">
        <v>23828</v>
      </c>
      <c r="N7" s="231">
        <v>25371</v>
      </c>
      <c r="O7" s="231">
        <v>29203</v>
      </c>
      <c r="P7" s="231">
        <v>25639</v>
      </c>
      <c r="Q7" s="231">
        <v>30931</v>
      </c>
      <c r="R7" s="231">
        <v>31879</v>
      </c>
      <c r="S7" s="231">
        <v>32760</v>
      </c>
      <c r="T7" s="231">
        <v>29649</v>
      </c>
    </row>
    <row r="8" spans="1:20" s="278" customFormat="1" ht="17.25" customHeight="1">
      <c r="A8" s="232" t="s">
        <v>1</v>
      </c>
      <c r="B8" s="231">
        <v>18082</v>
      </c>
      <c r="C8" s="231">
        <v>19454</v>
      </c>
      <c r="D8" s="231">
        <v>18949</v>
      </c>
      <c r="E8" s="231">
        <v>19700</v>
      </c>
      <c r="F8" s="231">
        <v>18875</v>
      </c>
      <c r="G8" s="231">
        <v>18972</v>
      </c>
      <c r="H8" s="231">
        <v>17348</v>
      </c>
      <c r="I8" s="231">
        <v>17951</v>
      </c>
      <c r="J8" s="231">
        <v>18082</v>
      </c>
      <c r="K8" s="231">
        <v>19454</v>
      </c>
      <c r="L8" s="231">
        <v>18949</v>
      </c>
      <c r="M8" s="231">
        <v>19700</v>
      </c>
      <c r="N8" s="231">
        <v>18875</v>
      </c>
      <c r="O8" s="231">
        <v>19004</v>
      </c>
      <c r="P8" s="231">
        <v>17348</v>
      </c>
      <c r="Q8" s="231">
        <v>17877</v>
      </c>
      <c r="R8" s="231">
        <v>17781</v>
      </c>
      <c r="S8" s="231">
        <v>19993</v>
      </c>
      <c r="T8" s="231">
        <v>19032</v>
      </c>
    </row>
    <row r="9" spans="1:20" s="278" customFormat="1" ht="17.25" customHeight="1">
      <c r="A9" s="232" t="s">
        <v>211</v>
      </c>
      <c r="B9" s="231">
        <v>2856</v>
      </c>
      <c r="C9" s="231">
        <v>917</v>
      </c>
      <c r="D9" s="231">
        <v>1812</v>
      </c>
      <c r="E9" s="231">
        <v>1864</v>
      </c>
      <c r="F9" s="231">
        <v>2379</v>
      </c>
      <c r="G9" s="231">
        <v>4264</v>
      </c>
      <c r="H9" s="231">
        <v>5118</v>
      </c>
      <c r="I9" s="231">
        <v>6213</v>
      </c>
      <c r="J9" s="231">
        <v>2856</v>
      </c>
      <c r="K9" s="231">
        <v>3226</v>
      </c>
      <c r="L9" s="231">
        <v>3736</v>
      </c>
      <c r="M9" s="231">
        <v>3355</v>
      </c>
      <c r="N9" s="231">
        <v>4544</v>
      </c>
      <c r="O9" s="231">
        <v>4264</v>
      </c>
      <c r="P9" s="231">
        <v>5118</v>
      </c>
      <c r="Q9" s="231">
        <v>6053</v>
      </c>
      <c r="R9" s="231">
        <v>5984</v>
      </c>
      <c r="S9" s="231">
        <v>6678</v>
      </c>
      <c r="T9" s="231">
        <v>7338</v>
      </c>
    </row>
    <row r="10" spans="1:20" s="278" customFormat="1" ht="17.25" customHeight="1">
      <c r="A10" s="232" t="s">
        <v>39</v>
      </c>
      <c r="B10" s="231">
        <v>5733</v>
      </c>
      <c r="C10" s="231">
        <v>5532</v>
      </c>
      <c r="D10" s="231">
        <v>5053</v>
      </c>
      <c r="E10" s="231">
        <v>5013</v>
      </c>
      <c r="F10" s="231">
        <v>4692</v>
      </c>
      <c r="G10" s="231">
        <v>6373</v>
      </c>
      <c r="H10" s="231">
        <v>6621</v>
      </c>
      <c r="I10" s="231">
        <v>6060</v>
      </c>
      <c r="J10" s="231">
        <v>5733</v>
      </c>
      <c r="K10" s="231">
        <v>5532</v>
      </c>
      <c r="L10" s="231">
        <v>5053</v>
      </c>
      <c r="M10" s="231">
        <v>5013</v>
      </c>
      <c r="N10" s="231">
        <v>4751</v>
      </c>
      <c r="O10" s="231">
        <v>6373</v>
      </c>
      <c r="P10" s="231">
        <v>6621</v>
      </c>
      <c r="Q10" s="231">
        <v>6013</v>
      </c>
      <c r="R10" s="231">
        <v>5288</v>
      </c>
      <c r="S10" s="231">
        <v>6822</v>
      </c>
      <c r="T10" s="231">
        <v>6436</v>
      </c>
    </row>
    <row r="11" spans="1:20" s="278" customFormat="1" ht="17.25" customHeight="1">
      <c r="A11" s="232" t="s">
        <v>41</v>
      </c>
      <c r="B11" s="231">
        <v>2524</v>
      </c>
      <c r="C11" s="231">
        <v>2790</v>
      </c>
      <c r="D11" s="231">
        <v>2990</v>
      </c>
      <c r="E11" s="231">
        <v>2637</v>
      </c>
      <c r="F11" s="231">
        <v>2655</v>
      </c>
      <c r="G11" s="231">
        <v>2925</v>
      </c>
      <c r="H11" s="231">
        <v>3275</v>
      </c>
      <c r="I11" s="231">
        <v>3438</v>
      </c>
      <c r="J11" s="231">
        <v>2524</v>
      </c>
      <c r="K11" s="231">
        <v>2790</v>
      </c>
      <c r="L11" s="231">
        <v>2990</v>
      </c>
      <c r="M11" s="231">
        <v>2637</v>
      </c>
      <c r="N11" s="231">
        <v>2655</v>
      </c>
      <c r="O11" s="231">
        <v>2925</v>
      </c>
      <c r="P11" s="231">
        <v>3275</v>
      </c>
      <c r="Q11" s="231">
        <v>3456</v>
      </c>
      <c r="R11" s="231">
        <v>3681</v>
      </c>
      <c r="S11" s="231">
        <v>3644</v>
      </c>
      <c r="T11" s="231">
        <v>3824</v>
      </c>
    </row>
    <row r="12" spans="1:20" s="278" customFormat="1" ht="17.25" customHeight="1">
      <c r="A12" s="232" t="s">
        <v>214</v>
      </c>
      <c r="B12" s="231">
        <v>651</v>
      </c>
      <c r="C12" s="231">
        <v>917</v>
      </c>
      <c r="D12" s="231">
        <v>1812</v>
      </c>
      <c r="E12" s="231">
        <v>1864</v>
      </c>
      <c r="F12" s="231">
        <v>2379</v>
      </c>
      <c r="G12" s="231">
        <v>2166</v>
      </c>
      <c r="H12" s="231">
        <v>2525</v>
      </c>
      <c r="I12" s="231">
        <v>3082</v>
      </c>
      <c r="J12" s="231">
        <v>651</v>
      </c>
      <c r="K12" s="231">
        <v>1028</v>
      </c>
      <c r="L12" s="231">
        <v>1812</v>
      </c>
      <c r="M12" s="231">
        <v>1864</v>
      </c>
      <c r="N12" s="231">
        <v>2379</v>
      </c>
      <c r="O12" s="231">
        <v>2166</v>
      </c>
      <c r="P12" s="231">
        <v>2525</v>
      </c>
      <c r="Q12" s="231">
        <v>3155</v>
      </c>
      <c r="R12" s="231">
        <v>3165</v>
      </c>
      <c r="S12" s="231">
        <v>4412</v>
      </c>
      <c r="T12" s="231">
        <v>5072</v>
      </c>
    </row>
    <row r="13" spans="1:20" s="278" customFormat="1" ht="17.25" customHeight="1">
      <c r="A13" s="232" t="s">
        <v>47</v>
      </c>
      <c r="B13" s="231">
        <v>1790</v>
      </c>
      <c r="C13" s="231">
        <v>2055</v>
      </c>
      <c r="D13" s="231">
        <v>2578</v>
      </c>
      <c r="E13" s="231">
        <v>2785</v>
      </c>
      <c r="F13" s="278">
        <v>2615</v>
      </c>
      <c r="G13" s="231">
        <v>2833</v>
      </c>
      <c r="H13" s="321">
        <v>3056</v>
      </c>
      <c r="I13" s="321">
        <v>2960</v>
      </c>
      <c r="J13" s="231">
        <v>1790</v>
      </c>
      <c r="K13" s="231">
        <v>2055</v>
      </c>
      <c r="L13" s="231">
        <v>2578</v>
      </c>
      <c r="M13" s="231">
        <v>2785</v>
      </c>
      <c r="N13" s="278">
        <v>2615</v>
      </c>
      <c r="O13" s="231">
        <v>2837</v>
      </c>
      <c r="P13" s="321">
        <v>3056</v>
      </c>
      <c r="Q13" s="321">
        <v>2857</v>
      </c>
      <c r="R13" s="321">
        <v>2888</v>
      </c>
      <c r="S13" s="321">
        <v>3255</v>
      </c>
      <c r="T13" s="321">
        <v>4074</v>
      </c>
    </row>
    <row r="14" spans="1:20" s="278" customFormat="1" ht="17.25" customHeight="1">
      <c r="A14" s="232" t="s">
        <v>264</v>
      </c>
      <c r="B14" s="231">
        <v>4030</v>
      </c>
      <c r="C14" s="231">
        <v>3159</v>
      </c>
      <c r="D14" s="231">
        <v>2932</v>
      </c>
      <c r="E14" s="231">
        <v>2568</v>
      </c>
      <c r="F14" s="278">
        <v>2472</v>
      </c>
      <c r="G14" s="231">
        <v>2483</v>
      </c>
      <c r="H14" s="321">
        <v>2545</v>
      </c>
      <c r="I14" s="321">
        <v>2667</v>
      </c>
      <c r="J14" s="231">
        <v>4030</v>
      </c>
      <c r="K14" s="231">
        <v>3159</v>
      </c>
      <c r="L14" s="231">
        <v>2932</v>
      </c>
      <c r="M14" s="231">
        <v>2568</v>
      </c>
      <c r="N14" s="278">
        <v>2472</v>
      </c>
      <c r="O14" s="231">
        <v>2468</v>
      </c>
      <c r="P14" s="321">
        <v>2539</v>
      </c>
      <c r="Q14" s="321">
        <v>2578</v>
      </c>
      <c r="R14" s="321">
        <v>2537</v>
      </c>
      <c r="S14" s="321">
        <v>2447</v>
      </c>
      <c r="T14" s="321">
        <v>2897</v>
      </c>
    </row>
    <row r="15" spans="1:20" s="278" customFormat="1" ht="17.25" customHeight="1">
      <c r="A15" s="232" t="s">
        <v>26</v>
      </c>
      <c r="B15" s="231">
        <v>1648</v>
      </c>
      <c r="C15" s="231">
        <v>1864</v>
      </c>
      <c r="D15" s="231">
        <v>1904</v>
      </c>
      <c r="E15" s="231">
        <v>1541</v>
      </c>
      <c r="F15" s="278">
        <v>1460</v>
      </c>
      <c r="G15" s="231">
        <v>1899</v>
      </c>
      <c r="H15" s="321">
        <v>1401</v>
      </c>
      <c r="I15" s="321">
        <v>1602</v>
      </c>
      <c r="J15" s="231">
        <v>1648</v>
      </c>
      <c r="K15" s="231">
        <v>1864</v>
      </c>
      <c r="L15" s="231">
        <v>1904</v>
      </c>
      <c r="M15" s="231">
        <v>1541</v>
      </c>
      <c r="N15" s="278">
        <v>1460</v>
      </c>
      <c r="O15" s="231">
        <v>1899</v>
      </c>
      <c r="P15" s="321">
        <v>1401</v>
      </c>
      <c r="Q15" s="321">
        <v>1530</v>
      </c>
      <c r="R15" s="321">
        <v>1533</v>
      </c>
      <c r="S15" s="321">
        <v>1138</v>
      </c>
      <c r="T15" s="321">
        <v>1240</v>
      </c>
    </row>
    <row r="16" spans="1:20" s="278" customFormat="1" ht="17.25" customHeight="1">
      <c r="A16" s="232" t="s">
        <v>43</v>
      </c>
      <c r="B16" s="231">
        <v>1354</v>
      </c>
      <c r="C16" s="231">
        <v>832</v>
      </c>
      <c r="D16" s="231">
        <v>889</v>
      </c>
      <c r="E16" s="231">
        <v>1081</v>
      </c>
      <c r="F16" s="231">
        <v>836</v>
      </c>
      <c r="G16" s="231">
        <v>930</v>
      </c>
      <c r="H16" s="231">
        <v>767</v>
      </c>
      <c r="I16" s="231">
        <v>844</v>
      </c>
      <c r="J16" s="231">
        <v>1354</v>
      </c>
      <c r="K16" s="231">
        <v>832</v>
      </c>
      <c r="L16" s="231">
        <v>889</v>
      </c>
      <c r="M16" s="231">
        <v>1081</v>
      </c>
      <c r="N16" s="231">
        <v>836</v>
      </c>
      <c r="O16" s="231">
        <v>930</v>
      </c>
      <c r="P16" s="231">
        <v>767</v>
      </c>
      <c r="Q16" s="231">
        <v>857</v>
      </c>
      <c r="R16" s="231">
        <v>1018</v>
      </c>
      <c r="S16" s="231">
        <v>1197</v>
      </c>
      <c r="T16" s="231">
        <v>913</v>
      </c>
    </row>
    <row r="17" spans="1:20" s="278" customFormat="1" ht="17.25" customHeight="1">
      <c r="A17" s="232" t="s">
        <v>196</v>
      </c>
      <c r="B17" s="231">
        <v>494</v>
      </c>
      <c r="C17" s="231">
        <v>495</v>
      </c>
      <c r="D17" s="231">
        <v>559</v>
      </c>
      <c r="E17" s="231">
        <v>545</v>
      </c>
      <c r="F17" s="231">
        <v>601</v>
      </c>
      <c r="G17" s="231">
        <v>593</v>
      </c>
      <c r="H17" s="231">
        <v>607</v>
      </c>
      <c r="I17" s="231">
        <v>567</v>
      </c>
      <c r="J17" s="231">
        <v>494</v>
      </c>
      <c r="K17" s="231">
        <v>495</v>
      </c>
      <c r="L17" s="231">
        <v>559</v>
      </c>
      <c r="M17" s="231">
        <v>545</v>
      </c>
      <c r="N17" s="231">
        <v>601</v>
      </c>
      <c r="O17" s="231">
        <v>593</v>
      </c>
      <c r="P17" s="231">
        <v>607</v>
      </c>
      <c r="Q17" s="231">
        <v>547</v>
      </c>
      <c r="R17" s="231">
        <v>596</v>
      </c>
      <c r="S17" s="231">
        <v>559</v>
      </c>
      <c r="T17" s="231">
        <v>514</v>
      </c>
    </row>
    <row r="18" spans="1:20" s="278" customFormat="1" ht="17.25" customHeight="1">
      <c r="A18" s="232" t="s">
        <v>15</v>
      </c>
      <c r="B18" s="235">
        <f>SUM(B19-B7-B8-B9-B10-B11-B12-B13-B14-B15-B16-B17)</f>
        <v>8571</v>
      </c>
      <c r="C18" s="235">
        <f t="shared" ref="C18:I18" si="0">SUM(C19-C7-C8-C9-C10-C11-C12-C13-C14-C15-C16-C17)</f>
        <v>11455</v>
      </c>
      <c r="D18" s="235">
        <f t="shared" si="0"/>
        <v>11872</v>
      </c>
      <c r="E18" s="235">
        <f t="shared" si="0"/>
        <v>12112</v>
      </c>
      <c r="F18" s="235">
        <f t="shared" si="0"/>
        <v>13152</v>
      </c>
      <c r="G18" s="235">
        <f>SUM(G19-G7-G8-G9-G10-G11-G12-G13-G14-G15-G16-G17)</f>
        <v>11420</v>
      </c>
      <c r="H18" s="235">
        <f t="shared" si="0"/>
        <v>11363</v>
      </c>
      <c r="I18" s="235">
        <f t="shared" si="0"/>
        <v>12213</v>
      </c>
      <c r="J18" s="235">
        <f>SUM(J19-J7-J8-J9-J10-J11-J12-J13-J14-J15-J16-J17)</f>
        <v>8571</v>
      </c>
      <c r="K18" s="235">
        <f t="shared" ref="K18:T18" si="1">SUM(K19-K7-K8-K9-K10-K11-K12-K13-K14-K15-K16-K17)</f>
        <v>9035</v>
      </c>
      <c r="L18" s="235">
        <f t="shared" si="1"/>
        <v>9948</v>
      </c>
      <c r="M18" s="235">
        <f t="shared" si="1"/>
        <v>10581</v>
      </c>
      <c r="N18" s="235">
        <f t="shared" si="1"/>
        <v>10937</v>
      </c>
      <c r="O18" s="235">
        <f t="shared" si="1"/>
        <v>12061.699999999997</v>
      </c>
      <c r="P18" s="235">
        <f t="shared" si="1"/>
        <v>12050.899999999994</v>
      </c>
      <c r="Q18" s="235">
        <f t="shared" si="1"/>
        <v>13010.5</v>
      </c>
      <c r="R18" s="235">
        <f t="shared" si="1"/>
        <v>14047</v>
      </c>
      <c r="S18" s="235">
        <f t="shared" si="1"/>
        <v>15248</v>
      </c>
      <c r="T18" s="235">
        <f t="shared" si="1"/>
        <v>15530</v>
      </c>
    </row>
    <row r="19" spans="1:20" s="278" customFormat="1" ht="17.25" customHeight="1">
      <c r="A19" s="282" t="s">
        <v>151</v>
      </c>
      <c r="B19" s="234">
        <v>66518</v>
      </c>
      <c r="C19" s="234">
        <v>68853</v>
      </c>
      <c r="D19" s="234">
        <v>72917</v>
      </c>
      <c r="E19" s="234">
        <v>75538</v>
      </c>
      <c r="F19" s="234">
        <v>77487</v>
      </c>
      <c r="G19" s="234">
        <v>84061</v>
      </c>
      <c r="H19" s="234">
        <v>80265</v>
      </c>
      <c r="I19" s="234">
        <v>87303</v>
      </c>
      <c r="J19" s="234">
        <v>66518</v>
      </c>
      <c r="K19" s="234">
        <v>68853</v>
      </c>
      <c r="L19" s="234">
        <v>72917</v>
      </c>
      <c r="M19" s="234">
        <v>75498</v>
      </c>
      <c r="N19" s="234">
        <v>77496</v>
      </c>
      <c r="O19" s="234">
        <v>84723.7</v>
      </c>
      <c r="P19" s="234">
        <v>80946.899999999994</v>
      </c>
      <c r="Q19" s="234">
        <v>88864.5</v>
      </c>
      <c r="R19" s="234">
        <v>90397</v>
      </c>
      <c r="S19" s="234">
        <v>98153</v>
      </c>
      <c r="T19" s="234">
        <v>96519</v>
      </c>
    </row>
    <row r="20" spans="1:20" s="184" customFormat="1" ht="17.25" customHeight="1">
      <c r="A20" s="184" t="s">
        <v>312</v>
      </c>
      <c r="B20" s="207"/>
      <c r="C20" s="207"/>
      <c r="D20" s="207"/>
      <c r="E20" s="207"/>
      <c r="F20" s="207"/>
      <c r="G20" s="207"/>
    </row>
    <row r="21" spans="1:20" s="278" customFormat="1" ht="17.25" customHeight="1">
      <c r="A21" s="184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</row>
    <row r="22" spans="1:20" s="278" customFormat="1" ht="17.25" customHeight="1">
      <c r="A22" s="184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</row>
    <row r="23" spans="1:20" s="278" customFormat="1" ht="17.25" customHeight="1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</row>
    <row r="24" spans="1:20" s="278" customFormat="1" ht="17.25" customHeight="1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</row>
    <row r="25" spans="1:20" s="278" customFormat="1" ht="17.25" customHeight="1">
      <c r="A25" s="226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</row>
    <row r="26" spans="1:20" s="278" customFormat="1" ht="17.25" customHeight="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1:20" s="278" customFormat="1" ht="17.25" customHeight="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1:20" s="278" customFormat="1" ht="17.25" customHeight="1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1:20" s="278" customFormat="1" ht="17.25" customHeight="1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1:20" s="278" customFormat="1" ht="17.25" customHeight="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</row>
    <row r="31" spans="1:20" s="278" customFormat="1" ht="17.25" customHeight="1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</row>
    <row r="32" spans="1:20" s="278" customFormat="1" ht="17.25" customHeight="1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view="pageBreakPreview" zoomScaleNormal="100" zoomScaleSheetLayoutView="100" workbookViewId="0">
      <selection activeCell="H38" sqref="H38"/>
    </sheetView>
  </sheetViews>
  <sheetFormatPr defaultRowHeight="15"/>
  <cols>
    <col min="1" max="1" width="18.5" style="534" customWidth="1"/>
    <col min="2" max="2" width="23.5" style="534" customWidth="1"/>
    <col min="3" max="5" width="25.33203125" style="534" customWidth="1"/>
    <col min="6" max="7" width="14.6640625" style="534" customWidth="1"/>
    <col min="8" max="16384" width="9.33203125" style="534"/>
  </cols>
  <sheetData>
    <row r="2" spans="1:7">
      <c r="A2" s="565" t="s">
        <v>93</v>
      </c>
      <c r="B2" s="565"/>
      <c r="C2" s="565"/>
      <c r="D2" s="565"/>
      <c r="E2" s="565"/>
    </row>
    <row r="3" spans="1:7">
      <c r="A3" s="566" t="s">
        <v>359</v>
      </c>
      <c r="B3" s="566"/>
      <c r="C3" s="566"/>
      <c r="D3" s="566"/>
      <c r="E3" s="566"/>
    </row>
    <row r="4" spans="1:7">
      <c r="A4" s="566" t="s">
        <v>101</v>
      </c>
      <c r="B4" s="566"/>
      <c r="C4" s="566"/>
      <c r="D4" s="566"/>
      <c r="E4" s="566"/>
    </row>
    <row r="5" spans="1:7" ht="15.75">
      <c r="A5" s="541"/>
    </row>
    <row r="6" spans="1:7" ht="18.75" customHeight="1">
      <c r="A6" s="505" t="s">
        <v>60</v>
      </c>
      <c r="B6" s="505" t="s">
        <v>360</v>
      </c>
      <c r="C6" s="505" t="s">
        <v>361</v>
      </c>
      <c r="D6" s="505" t="s">
        <v>362</v>
      </c>
      <c r="E6" s="505" t="s">
        <v>0</v>
      </c>
      <c r="F6" s="542"/>
      <c r="G6" s="542"/>
    </row>
    <row r="7" spans="1:7" ht="18.75" customHeight="1">
      <c r="A7" s="536">
        <v>2014</v>
      </c>
      <c r="B7" s="543" t="s">
        <v>295</v>
      </c>
      <c r="C7" s="544">
        <v>2275572</v>
      </c>
      <c r="D7" s="544">
        <v>341762</v>
      </c>
      <c r="E7" s="545">
        <v>2617334</v>
      </c>
      <c r="F7" s="542"/>
      <c r="G7" s="542"/>
    </row>
    <row r="8" spans="1:7" ht="18.75" customHeight="1">
      <c r="A8" s="546">
        <v>2015</v>
      </c>
      <c r="B8" s="543" t="s">
        <v>295</v>
      </c>
      <c r="C8" s="547">
        <v>2315261</v>
      </c>
      <c r="D8" s="547">
        <v>344100</v>
      </c>
      <c r="E8" s="548">
        <v>2659361</v>
      </c>
      <c r="F8" s="549"/>
      <c r="G8" s="549"/>
    </row>
    <row r="9" spans="1:7" ht="18.75" customHeight="1">
      <c r="A9" s="546">
        <v>2016</v>
      </c>
      <c r="B9" s="543" t="s">
        <v>295</v>
      </c>
      <c r="C9" s="547">
        <v>2349387</v>
      </c>
      <c r="D9" s="547">
        <v>330115</v>
      </c>
      <c r="E9" s="548">
        <v>2679502</v>
      </c>
      <c r="F9" s="549"/>
      <c r="G9" s="549"/>
    </row>
    <row r="10" spans="1:7" ht="18.75" customHeight="1">
      <c r="A10" s="546">
        <v>2017</v>
      </c>
      <c r="B10" s="543" t="s">
        <v>295</v>
      </c>
      <c r="C10" s="547">
        <v>2388574</v>
      </c>
      <c r="D10" s="547">
        <v>319839</v>
      </c>
      <c r="E10" s="548">
        <v>2708413</v>
      </c>
      <c r="F10" s="549"/>
      <c r="G10" s="549"/>
    </row>
    <row r="11" spans="1:7" ht="18.75" customHeight="1">
      <c r="A11" s="536">
        <v>2018</v>
      </c>
      <c r="B11" s="543" t="s">
        <v>295</v>
      </c>
      <c r="C11" s="547">
        <v>2407163</v>
      </c>
      <c r="D11" s="547">
        <v>320445</v>
      </c>
      <c r="E11" s="548">
        <v>2727608</v>
      </c>
      <c r="F11" s="549"/>
      <c r="G11" s="549"/>
    </row>
    <row r="12" spans="1:7" ht="18.75" customHeight="1">
      <c r="A12" s="546">
        <v>2019</v>
      </c>
      <c r="B12" s="543" t="s">
        <v>295</v>
      </c>
      <c r="C12" s="547">
        <v>2443715</v>
      </c>
      <c r="D12" s="547">
        <v>325288</v>
      </c>
      <c r="E12" s="548">
        <v>2769003</v>
      </c>
      <c r="F12" s="549"/>
      <c r="G12" s="549"/>
    </row>
    <row r="13" spans="1:7" ht="18.75" customHeight="1">
      <c r="A13" s="536">
        <v>2020</v>
      </c>
      <c r="B13" s="543" t="s">
        <v>295</v>
      </c>
      <c r="C13" s="547">
        <v>2455535</v>
      </c>
      <c r="D13" s="547">
        <v>282188</v>
      </c>
      <c r="E13" s="548">
        <v>2737723</v>
      </c>
      <c r="F13" s="549"/>
      <c r="G13" s="549"/>
    </row>
    <row r="14" spans="1:7" ht="18.75" customHeight="1">
      <c r="A14" s="536">
        <v>2014</v>
      </c>
      <c r="B14" s="543" t="s">
        <v>82</v>
      </c>
      <c r="C14" s="547">
        <v>1355541</v>
      </c>
      <c r="D14" s="547">
        <v>155969</v>
      </c>
      <c r="E14" s="548">
        <v>1511510</v>
      </c>
      <c r="F14" s="549"/>
      <c r="G14" s="549"/>
    </row>
    <row r="15" spans="1:7" ht="18.75" customHeight="1">
      <c r="A15" s="536">
        <v>2015</v>
      </c>
      <c r="B15" s="543" t="s">
        <v>82</v>
      </c>
      <c r="C15" s="547">
        <v>1375229</v>
      </c>
      <c r="D15" s="547">
        <v>168994</v>
      </c>
      <c r="E15" s="548">
        <v>1544223</v>
      </c>
      <c r="F15" s="549"/>
      <c r="G15" s="549"/>
    </row>
    <row r="16" spans="1:7" ht="18.75" customHeight="1">
      <c r="A16" s="536">
        <v>2016</v>
      </c>
      <c r="B16" s="543" t="s">
        <v>82</v>
      </c>
      <c r="C16" s="547">
        <v>1383109</v>
      </c>
      <c r="D16" s="547">
        <v>168605</v>
      </c>
      <c r="E16" s="548">
        <v>1551714</v>
      </c>
      <c r="F16" s="549"/>
      <c r="G16" s="549"/>
    </row>
    <row r="17" spans="1:7" ht="18.75" customHeight="1">
      <c r="A17" s="536">
        <v>2017</v>
      </c>
      <c r="B17" s="543" t="s">
        <v>82</v>
      </c>
      <c r="C17" s="547">
        <v>1380037</v>
      </c>
      <c r="D17" s="547">
        <v>166867</v>
      </c>
      <c r="E17" s="548">
        <v>1546904</v>
      </c>
      <c r="F17" s="549"/>
      <c r="G17" s="549"/>
    </row>
    <row r="18" spans="1:7" ht="18.75" customHeight="1">
      <c r="A18" s="536">
        <v>2018</v>
      </c>
      <c r="B18" s="543" t="s">
        <v>82</v>
      </c>
      <c r="C18" s="547">
        <v>1378655</v>
      </c>
      <c r="D18" s="547">
        <v>170590</v>
      </c>
      <c r="E18" s="548">
        <v>1549245</v>
      </c>
      <c r="F18" s="549"/>
      <c r="G18" s="549"/>
    </row>
    <row r="19" spans="1:7" ht="18.75" customHeight="1">
      <c r="A19" s="536">
        <v>2019</v>
      </c>
      <c r="B19" s="543" t="s">
        <v>82</v>
      </c>
      <c r="C19" s="547">
        <v>1353812</v>
      </c>
      <c r="D19" s="547">
        <v>190669</v>
      </c>
      <c r="E19" s="548">
        <v>1544481</v>
      </c>
      <c r="F19" s="549"/>
      <c r="G19" s="549"/>
    </row>
    <row r="20" spans="1:7" ht="18.75" customHeight="1">
      <c r="A20" s="536">
        <v>2020</v>
      </c>
      <c r="B20" s="543" t="s">
        <v>82</v>
      </c>
      <c r="C20" s="547">
        <v>1344608</v>
      </c>
      <c r="D20" s="547">
        <v>198446</v>
      </c>
      <c r="E20" s="548">
        <v>1543054</v>
      </c>
      <c r="F20" s="549"/>
      <c r="G20" s="549"/>
    </row>
    <row r="21" spans="1:7" ht="18.75" customHeight="1">
      <c r="A21" s="536">
        <v>2014</v>
      </c>
      <c r="B21" s="543" t="s">
        <v>85</v>
      </c>
      <c r="C21" s="547">
        <v>1058208</v>
      </c>
      <c r="D21" s="547">
        <v>205183</v>
      </c>
      <c r="E21" s="548">
        <v>1263391</v>
      </c>
      <c r="F21" s="549"/>
      <c r="G21" s="549"/>
    </row>
    <row r="22" spans="1:7" ht="18.75" customHeight="1">
      <c r="A22" s="536">
        <v>2015</v>
      </c>
      <c r="B22" s="543" t="s">
        <v>85</v>
      </c>
      <c r="C22" s="547">
        <v>1168907</v>
      </c>
      <c r="D22" s="547">
        <v>270452</v>
      </c>
      <c r="E22" s="548">
        <v>1439359</v>
      </c>
      <c r="F22" s="549"/>
      <c r="G22" s="549"/>
    </row>
    <row r="23" spans="1:7" ht="18.75" customHeight="1">
      <c r="A23" s="536">
        <v>2016</v>
      </c>
      <c r="B23" s="543" t="s">
        <v>85</v>
      </c>
      <c r="C23" s="547">
        <v>1268942</v>
      </c>
      <c r="D23" s="547">
        <v>237827</v>
      </c>
      <c r="E23" s="548">
        <v>1506769</v>
      </c>
      <c r="F23" s="549"/>
      <c r="G23" s="549"/>
    </row>
    <row r="24" spans="1:7" ht="18.75" customHeight="1">
      <c r="A24" s="536">
        <v>2017</v>
      </c>
      <c r="B24" s="543" t="s">
        <v>85</v>
      </c>
      <c r="C24" s="547">
        <v>1342102</v>
      </c>
      <c r="D24" s="547">
        <v>213726</v>
      </c>
      <c r="E24" s="548">
        <v>1555828</v>
      </c>
      <c r="F24" s="549"/>
      <c r="G24" s="549"/>
    </row>
    <row r="25" spans="1:7" ht="18.75" customHeight="1">
      <c r="A25" s="536">
        <v>2018</v>
      </c>
      <c r="B25" s="543" t="s">
        <v>85</v>
      </c>
      <c r="C25" s="547">
        <v>1403526</v>
      </c>
      <c r="D25" s="547">
        <v>168951</v>
      </c>
      <c r="E25" s="548">
        <v>1572477</v>
      </c>
      <c r="F25" s="549"/>
      <c r="G25" s="549"/>
    </row>
    <row r="26" spans="1:7" ht="18.75" customHeight="1">
      <c r="A26" s="536">
        <v>2019</v>
      </c>
      <c r="B26" s="543" t="s">
        <v>85</v>
      </c>
      <c r="C26" s="547">
        <v>1419295</v>
      </c>
      <c r="D26" s="547">
        <v>167378</v>
      </c>
      <c r="E26" s="548">
        <v>1586673</v>
      </c>
      <c r="F26" s="549"/>
      <c r="G26" s="549"/>
    </row>
    <row r="27" spans="1:7" ht="18.75" customHeight="1">
      <c r="A27" s="536">
        <v>2020</v>
      </c>
      <c r="B27" s="543" t="s">
        <v>85</v>
      </c>
      <c r="C27" s="547">
        <v>1431600</v>
      </c>
      <c r="D27" s="547">
        <v>152920</v>
      </c>
      <c r="E27" s="548">
        <v>1584520</v>
      </c>
      <c r="F27" s="549"/>
      <c r="G27" s="549"/>
    </row>
    <row r="28" spans="1:7" ht="18.75" customHeight="1">
      <c r="A28" s="505">
        <v>2014</v>
      </c>
      <c r="B28" s="505" t="s">
        <v>1</v>
      </c>
      <c r="C28" s="548">
        <v>4689321</v>
      </c>
      <c r="D28" s="548">
        <v>702914</v>
      </c>
      <c r="E28" s="548">
        <v>5392235</v>
      </c>
      <c r="F28" s="549"/>
      <c r="G28" s="549"/>
    </row>
    <row r="29" spans="1:7" ht="18.75" customHeight="1">
      <c r="A29" s="505">
        <v>2015</v>
      </c>
      <c r="B29" s="505" t="s">
        <v>1</v>
      </c>
      <c r="C29" s="548">
        <v>4859397</v>
      </c>
      <c r="D29" s="548">
        <v>783546</v>
      </c>
      <c r="E29" s="548">
        <v>5642943</v>
      </c>
      <c r="F29" s="549"/>
      <c r="G29" s="549"/>
    </row>
    <row r="30" spans="1:7" ht="18.75" customHeight="1">
      <c r="A30" s="505">
        <v>2016</v>
      </c>
      <c r="B30" s="505" t="s">
        <v>1</v>
      </c>
      <c r="C30" s="548">
        <v>5001438</v>
      </c>
      <c r="D30" s="548">
        <v>736547</v>
      </c>
      <c r="E30" s="548">
        <v>5737985</v>
      </c>
      <c r="F30" s="549"/>
      <c r="G30" s="549"/>
    </row>
    <row r="31" spans="1:7" ht="18.75" customHeight="1">
      <c r="A31" s="505">
        <v>2017</v>
      </c>
      <c r="B31" s="505" t="s">
        <v>1</v>
      </c>
      <c r="C31" s="548">
        <v>5110713</v>
      </c>
      <c r="D31" s="548">
        <v>700432</v>
      </c>
      <c r="E31" s="548">
        <v>5811145</v>
      </c>
      <c r="F31" s="549"/>
      <c r="G31" s="549"/>
    </row>
    <row r="32" spans="1:7" ht="18.75" customHeight="1">
      <c r="A32" s="505">
        <v>2018</v>
      </c>
      <c r="B32" s="505" t="s">
        <v>1</v>
      </c>
      <c r="C32" s="548">
        <v>5189344</v>
      </c>
      <c r="D32" s="548">
        <v>659986</v>
      </c>
      <c r="E32" s="548">
        <v>5849330</v>
      </c>
      <c r="F32" s="549"/>
      <c r="G32" s="549"/>
    </row>
    <row r="33" spans="1:7" ht="18.75" customHeight="1">
      <c r="A33" s="505">
        <v>2019</v>
      </c>
      <c r="B33" s="505" t="s">
        <v>1</v>
      </c>
      <c r="C33" s="548">
        <v>5216822</v>
      </c>
      <c r="D33" s="548">
        <v>683335</v>
      </c>
      <c r="E33" s="548">
        <v>5900157</v>
      </c>
      <c r="F33" s="549"/>
      <c r="G33" s="549"/>
    </row>
    <row r="34" spans="1:7" ht="18.75" customHeight="1">
      <c r="A34" s="505">
        <v>2020</v>
      </c>
      <c r="B34" s="505" t="s">
        <v>1</v>
      </c>
      <c r="C34" s="548">
        <v>5231743</v>
      </c>
      <c r="D34" s="548">
        <v>633554</v>
      </c>
      <c r="E34" s="548">
        <v>5865297</v>
      </c>
      <c r="F34" s="549"/>
      <c r="G34" s="549"/>
    </row>
    <row r="35" spans="1:7">
      <c r="A35" s="538" t="s">
        <v>388</v>
      </c>
    </row>
  </sheetData>
  <mergeCells count="3">
    <mergeCell ref="A4:E4"/>
    <mergeCell ref="A3:E3"/>
    <mergeCell ref="A2:E2"/>
  </mergeCells>
  <printOptions horizontalCentered="1"/>
  <pageMargins left="0" right="0" top="0" bottom="0" header="0" footer="0"/>
  <pageSetup paperSize="9" scale="7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4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28.6640625" style="226" customWidth="1"/>
    <col min="2" max="9" width="11.6640625" style="226" hidden="1" customWidth="1"/>
    <col min="10" max="20" width="12.5" style="226" customWidth="1"/>
    <col min="21" max="22" width="9.1640625" style="226"/>
    <col min="23" max="23" width="14.1640625" style="226" customWidth="1"/>
    <col min="24" max="16384" width="9.1640625" style="226"/>
  </cols>
  <sheetData>
    <row r="2" spans="1:20" ht="17.25" customHeight="1">
      <c r="A2" s="617" t="s">
        <v>383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0" ht="17.25" customHeight="1">
      <c r="A3" s="616" t="s">
        <v>277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</row>
    <row r="4" spans="1:20" ht="17.25" customHeight="1">
      <c r="A4" s="617" t="s">
        <v>14</v>
      </c>
      <c r="B4" s="617"/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</row>
    <row r="5" spans="1:20" ht="17.25" customHeight="1">
      <c r="A5" s="490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</row>
    <row r="6" spans="1:20" ht="17.25" customHeight="1">
      <c r="A6" s="229" t="s">
        <v>37</v>
      </c>
      <c r="B6" s="281">
        <v>2010</v>
      </c>
      <c r="C6" s="281">
        <v>2011</v>
      </c>
      <c r="D6" s="281">
        <v>2012</v>
      </c>
      <c r="E6" s="281">
        <v>2013</v>
      </c>
      <c r="F6" s="281">
        <v>2014</v>
      </c>
      <c r="G6" s="281">
        <v>2015</v>
      </c>
      <c r="H6" s="281">
        <v>2016</v>
      </c>
      <c r="I6" s="281">
        <v>2017</v>
      </c>
      <c r="J6" s="281">
        <v>2010</v>
      </c>
      <c r="K6" s="281">
        <v>2011</v>
      </c>
      <c r="L6" s="281">
        <v>2012</v>
      </c>
      <c r="M6" s="281">
        <v>2013</v>
      </c>
      <c r="N6" s="281">
        <v>2014</v>
      </c>
      <c r="O6" s="281">
        <v>2015</v>
      </c>
      <c r="P6" s="281">
        <v>2016</v>
      </c>
      <c r="Q6" s="281">
        <v>2017</v>
      </c>
      <c r="R6" s="281">
        <v>2018</v>
      </c>
      <c r="S6" s="281">
        <v>2019</v>
      </c>
      <c r="T6" s="188">
        <v>2020</v>
      </c>
    </row>
    <row r="7" spans="1:20" ht="17.25" customHeight="1">
      <c r="A7" s="232" t="s">
        <v>246</v>
      </c>
      <c r="B7" s="231">
        <v>32435</v>
      </c>
      <c r="C7" s="231">
        <v>32954</v>
      </c>
      <c r="D7" s="231">
        <v>34352</v>
      </c>
      <c r="E7" s="231">
        <v>35239</v>
      </c>
      <c r="F7" s="231">
        <v>35996</v>
      </c>
      <c r="G7" s="231">
        <v>36338</v>
      </c>
      <c r="H7" s="231">
        <v>36853</v>
      </c>
      <c r="I7" s="231">
        <v>37336</v>
      </c>
      <c r="J7" s="231">
        <v>32435</v>
      </c>
      <c r="K7" s="231">
        <v>32954</v>
      </c>
      <c r="L7" s="231">
        <v>34352</v>
      </c>
      <c r="M7" s="231">
        <v>35239</v>
      </c>
      <c r="N7" s="231">
        <v>36061</v>
      </c>
      <c r="O7" s="231">
        <v>37380</v>
      </c>
      <c r="P7" s="231">
        <v>37458</v>
      </c>
      <c r="Q7" s="231">
        <v>38022</v>
      </c>
      <c r="R7" s="231">
        <v>38535</v>
      </c>
      <c r="S7" s="231">
        <v>39614</v>
      </c>
      <c r="T7" s="231">
        <v>40107</v>
      </c>
    </row>
    <row r="8" spans="1:20" ht="17.25" customHeight="1">
      <c r="A8" s="232" t="s">
        <v>47</v>
      </c>
      <c r="B8" s="231">
        <v>30938</v>
      </c>
      <c r="C8" s="231">
        <v>29852</v>
      </c>
      <c r="D8" s="231">
        <v>30085</v>
      </c>
      <c r="E8" s="231">
        <v>31009</v>
      </c>
      <c r="F8" s="231">
        <v>32312</v>
      </c>
      <c r="G8" s="231">
        <v>32458</v>
      </c>
      <c r="H8" s="231">
        <v>32672</v>
      </c>
      <c r="I8" s="231">
        <v>33323</v>
      </c>
      <c r="J8" s="231">
        <v>30938</v>
      </c>
      <c r="K8" s="231">
        <v>29852</v>
      </c>
      <c r="L8" s="231">
        <v>30085</v>
      </c>
      <c r="M8" s="231">
        <v>31009</v>
      </c>
      <c r="N8" s="231">
        <v>32247</v>
      </c>
      <c r="O8" s="231">
        <v>32346</v>
      </c>
      <c r="P8" s="231">
        <v>33001</v>
      </c>
      <c r="Q8" s="231">
        <v>34345</v>
      </c>
      <c r="R8" s="231">
        <v>34768</v>
      </c>
      <c r="S8" s="231">
        <v>33506</v>
      </c>
      <c r="T8" s="231">
        <v>33670</v>
      </c>
    </row>
    <row r="9" spans="1:20" ht="17.25" customHeight="1">
      <c r="A9" s="232" t="s">
        <v>18</v>
      </c>
      <c r="B9" s="231">
        <v>17811</v>
      </c>
      <c r="C9" s="231">
        <v>18027</v>
      </c>
      <c r="D9" s="231">
        <v>18938</v>
      </c>
      <c r="E9" s="231">
        <v>19914</v>
      </c>
      <c r="F9" s="231">
        <v>20777</v>
      </c>
      <c r="G9" s="231">
        <v>22288</v>
      </c>
      <c r="H9" s="231">
        <v>23237</v>
      </c>
      <c r="I9" s="231">
        <v>24139</v>
      </c>
      <c r="J9" s="231">
        <v>17811</v>
      </c>
      <c r="K9" s="231">
        <v>18027</v>
      </c>
      <c r="L9" s="231">
        <v>18938</v>
      </c>
      <c r="M9" s="231">
        <v>19914</v>
      </c>
      <c r="N9" s="231">
        <v>20921</v>
      </c>
      <c r="O9" s="231">
        <v>22654</v>
      </c>
      <c r="P9" s="231">
        <v>23505</v>
      </c>
      <c r="Q9" s="231">
        <v>24145</v>
      </c>
      <c r="R9" s="231">
        <v>24698</v>
      </c>
      <c r="S9" s="231">
        <v>25283</v>
      </c>
      <c r="T9" s="231">
        <v>23670</v>
      </c>
    </row>
    <row r="10" spans="1:20" ht="17.25" customHeight="1">
      <c r="A10" s="232" t="s">
        <v>264</v>
      </c>
      <c r="B10" s="231">
        <v>15392</v>
      </c>
      <c r="C10" s="231">
        <v>18191</v>
      </c>
      <c r="D10" s="231">
        <v>18575</v>
      </c>
      <c r="E10" s="231">
        <v>19987</v>
      </c>
      <c r="F10" s="231">
        <v>19831</v>
      </c>
      <c r="G10" s="231">
        <v>20340</v>
      </c>
      <c r="H10" s="231">
        <v>22115</v>
      </c>
      <c r="I10" s="231">
        <v>22626</v>
      </c>
      <c r="J10" s="231">
        <v>15392</v>
      </c>
      <c r="K10" s="231">
        <v>18191</v>
      </c>
      <c r="L10" s="231">
        <v>18575</v>
      </c>
      <c r="M10" s="231">
        <v>19987</v>
      </c>
      <c r="N10" s="231">
        <v>19947</v>
      </c>
      <c r="O10" s="231">
        <v>20674</v>
      </c>
      <c r="P10" s="231">
        <v>22114</v>
      </c>
      <c r="Q10" s="231">
        <v>22565</v>
      </c>
      <c r="R10" s="231">
        <v>23823</v>
      </c>
      <c r="S10" s="231">
        <v>23886</v>
      </c>
      <c r="T10" s="231">
        <v>23941</v>
      </c>
    </row>
    <row r="11" spans="1:20" ht="17.25" customHeight="1">
      <c r="A11" s="232" t="s">
        <v>29</v>
      </c>
      <c r="B11" s="231">
        <v>6349</v>
      </c>
      <c r="C11" s="231">
        <v>7483</v>
      </c>
      <c r="D11" s="231">
        <v>8465</v>
      </c>
      <c r="E11" s="231">
        <v>9711</v>
      </c>
      <c r="F11" s="231">
        <v>10430</v>
      </c>
      <c r="G11" s="231">
        <v>9004</v>
      </c>
      <c r="H11" s="231">
        <v>11263</v>
      </c>
      <c r="I11" s="231">
        <v>11345</v>
      </c>
      <c r="J11" s="231">
        <v>6349</v>
      </c>
      <c r="K11" s="231">
        <v>7483</v>
      </c>
      <c r="L11" s="231">
        <v>8465</v>
      </c>
      <c r="M11" s="231">
        <v>9711</v>
      </c>
      <c r="N11" s="231">
        <v>10414</v>
      </c>
      <c r="O11" s="231">
        <v>9036</v>
      </c>
      <c r="P11" s="231">
        <v>11505</v>
      </c>
      <c r="Q11" s="231">
        <v>11821</v>
      </c>
      <c r="R11" s="231">
        <v>14890</v>
      </c>
      <c r="S11" s="231">
        <v>17723</v>
      </c>
      <c r="T11" s="231">
        <v>18113</v>
      </c>
    </row>
    <row r="12" spans="1:20" ht="17.25" customHeight="1">
      <c r="A12" s="232" t="s">
        <v>26</v>
      </c>
      <c r="B12" s="231">
        <v>7537</v>
      </c>
      <c r="C12" s="231">
        <v>7944</v>
      </c>
      <c r="D12" s="231">
        <v>7863</v>
      </c>
      <c r="E12" s="231">
        <v>8239</v>
      </c>
      <c r="F12" s="231">
        <v>8756</v>
      </c>
      <c r="G12" s="231">
        <v>8994</v>
      </c>
      <c r="H12" s="231">
        <v>9081</v>
      </c>
      <c r="I12" s="231">
        <v>9538</v>
      </c>
      <c r="J12" s="231">
        <v>7537</v>
      </c>
      <c r="K12" s="231">
        <v>7944</v>
      </c>
      <c r="L12" s="231">
        <v>7863</v>
      </c>
      <c r="M12" s="231">
        <v>8239</v>
      </c>
      <c r="N12" s="231">
        <v>8720</v>
      </c>
      <c r="O12" s="231">
        <v>9139</v>
      </c>
      <c r="P12" s="231">
        <v>9165</v>
      </c>
      <c r="Q12" s="231">
        <v>9761</v>
      </c>
      <c r="R12" s="231">
        <v>10584</v>
      </c>
      <c r="S12" s="231">
        <v>11074</v>
      </c>
      <c r="T12" s="231">
        <v>11753</v>
      </c>
    </row>
    <row r="13" spans="1:20" ht="17.25" customHeight="1">
      <c r="A13" s="232" t="s">
        <v>1</v>
      </c>
      <c r="B13" s="231">
        <v>3776</v>
      </c>
      <c r="C13" s="231">
        <v>3825</v>
      </c>
      <c r="D13" s="231">
        <v>3890</v>
      </c>
      <c r="E13" s="231">
        <v>4067</v>
      </c>
      <c r="F13" s="231">
        <v>4184</v>
      </c>
      <c r="G13" s="231">
        <v>4515</v>
      </c>
      <c r="H13" s="231">
        <v>4715</v>
      </c>
      <c r="I13" s="231">
        <v>5001</v>
      </c>
      <c r="J13" s="231">
        <v>3751</v>
      </c>
      <c r="K13" s="231">
        <v>3948</v>
      </c>
      <c r="L13" s="231">
        <v>4015</v>
      </c>
      <c r="M13" s="231">
        <v>4119</v>
      </c>
      <c r="N13" s="231">
        <v>4491</v>
      </c>
      <c r="O13" s="231">
        <v>4768</v>
      </c>
      <c r="P13" s="231">
        <v>4469</v>
      </c>
      <c r="Q13" s="231">
        <v>4728</v>
      </c>
      <c r="R13" s="231">
        <v>5252</v>
      </c>
      <c r="S13" s="231">
        <v>5455</v>
      </c>
      <c r="T13" s="231">
        <v>5181</v>
      </c>
    </row>
    <row r="14" spans="1:20" ht="17.25" customHeight="1">
      <c r="A14" s="232" t="s">
        <v>21</v>
      </c>
      <c r="B14" s="231">
        <v>3970</v>
      </c>
      <c r="C14" s="231">
        <v>3954</v>
      </c>
      <c r="D14" s="231">
        <v>3988</v>
      </c>
      <c r="E14" s="231">
        <v>4169</v>
      </c>
      <c r="F14" s="231">
        <v>4292</v>
      </c>
      <c r="G14" s="231">
        <v>4390</v>
      </c>
      <c r="H14" s="231">
        <v>4565</v>
      </c>
      <c r="I14" s="231">
        <v>4628</v>
      </c>
      <c r="J14" s="231">
        <v>3776</v>
      </c>
      <c r="K14" s="231">
        <v>3825</v>
      </c>
      <c r="L14" s="231">
        <v>3890</v>
      </c>
      <c r="M14" s="231">
        <v>4067</v>
      </c>
      <c r="N14" s="231">
        <v>4212</v>
      </c>
      <c r="O14" s="231">
        <v>4529</v>
      </c>
      <c r="P14" s="231">
        <v>4725</v>
      </c>
      <c r="Q14" s="231">
        <v>4985</v>
      </c>
      <c r="R14" s="231">
        <v>5149</v>
      </c>
      <c r="S14" s="231">
        <v>5300</v>
      </c>
      <c r="T14" s="231">
        <v>5255</v>
      </c>
    </row>
    <row r="15" spans="1:20" ht="17.25" customHeight="1">
      <c r="A15" s="232" t="s">
        <v>214</v>
      </c>
      <c r="B15" s="231">
        <v>2709</v>
      </c>
      <c r="C15" s="231">
        <v>2721</v>
      </c>
      <c r="D15" s="231">
        <v>2742</v>
      </c>
      <c r="E15" s="231">
        <v>2716</v>
      </c>
      <c r="F15" s="231">
        <v>2740</v>
      </c>
      <c r="G15" s="231">
        <v>2771</v>
      </c>
      <c r="H15" s="231">
        <v>2794</v>
      </c>
      <c r="I15" s="231">
        <v>3849</v>
      </c>
      <c r="J15" s="231">
        <v>3970</v>
      </c>
      <c r="K15" s="231">
        <v>3954</v>
      </c>
      <c r="L15" s="231">
        <v>3988</v>
      </c>
      <c r="M15" s="231">
        <v>4169</v>
      </c>
      <c r="N15" s="231">
        <v>4306</v>
      </c>
      <c r="O15" s="231">
        <v>4391</v>
      </c>
      <c r="P15" s="231">
        <v>4577</v>
      </c>
      <c r="Q15" s="231">
        <v>4654</v>
      </c>
      <c r="R15" s="231">
        <v>4826</v>
      </c>
      <c r="S15" s="231">
        <v>4882</v>
      </c>
      <c r="T15" s="231">
        <v>4869</v>
      </c>
    </row>
    <row r="16" spans="1:20" ht="17.25" customHeight="1">
      <c r="A16" s="232" t="s">
        <v>39</v>
      </c>
      <c r="B16" s="231">
        <v>2397</v>
      </c>
      <c r="C16" s="231">
        <v>2277</v>
      </c>
      <c r="D16" s="231">
        <v>2392</v>
      </c>
      <c r="E16" s="231">
        <v>2656</v>
      </c>
      <c r="F16" s="231">
        <v>2815</v>
      </c>
      <c r="G16" s="231">
        <v>2948</v>
      </c>
      <c r="H16" s="231">
        <v>2935</v>
      </c>
      <c r="I16" s="231">
        <v>3004</v>
      </c>
      <c r="J16" s="231">
        <v>2777</v>
      </c>
      <c r="K16" s="231">
        <v>3388</v>
      </c>
      <c r="L16" s="231">
        <v>3440</v>
      </c>
      <c r="M16" s="231">
        <v>3104</v>
      </c>
      <c r="N16" s="231">
        <v>3649</v>
      </c>
      <c r="O16" s="231">
        <v>2962</v>
      </c>
      <c r="P16" s="231">
        <v>3802</v>
      </c>
      <c r="Q16" s="231">
        <v>3942</v>
      </c>
      <c r="R16" s="231">
        <v>3592</v>
      </c>
      <c r="S16" s="231">
        <v>3262</v>
      </c>
      <c r="T16" s="231">
        <v>2307</v>
      </c>
    </row>
    <row r="17" spans="1:20" ht="17.25" customHeight="1">
      <c r="A17" s="232" t="s">
        <v>42</v>
      </c>
      <c r="B17" s="231">
        <v>2129</v>
      </c>
      <c r="C17" s="231">
        <v>2202</v>
      </c>
      <c r="D17" s="231">
        <v>2369</v>
      </c>
      <c r="E17" s="231">
        <v>2477</v>
      </c>
      <c r="F17" s="231">
        <v>2617</v>
      </c>
      <c r="G17" s="231">
        <v>2657</v>
      </c>
      <c r="H17" s="231">
        <v>2653</v>
      </c>
      <c r="I17" s="231">
        <v>2690</v>
      </c>
      <c r="J17" s="231">
        <v>2833</v>
      </c>
      <c r="K17" s="231">
        <v>2920</v>
      </c>
      <c r="L17" s="231">
        <v>3074</v>
      </c>
      <c r="M17" s="231">
        <v>3033</v>
      </c>
      <c r="N17" s="231">
        <v>3079</v>
      </c>
      <c r="O17" s="231">
        <v>3178</v>
      </c>
      <c r="P17" s="231">
        <v>3268</v>
      </c>
      <c r="Q17" s="231">
        <v>3342</v>
      </c>
      <c r="R17" s="231">
        <v>3432</v>
      </c>
      <c r="S17" s="231">
        <v>3511</v>
      </c>
      <c r="T17" s="231">
        <v>3460</v>
      </c>
    </row>
    <row r="18" spans="1:20" ht="17.25" customHeight="1">
      <c r="A18" s="232" t="s">
        <v>16</v>
      </c>
      <c r="B18" s="231">
        <v>1369</v>
      </c>
      <c r="C18" s="231">
        <v>1369</v>
      </c>
      <c r="D18" s="231">
        <v>1404</v>
      </c>
      <c r="E18" s="231">
        <v>1473</v>
      </c>
      <c r="F18" s="231">
        <v>1643</v>
      </c>
      <c r="G18" s="231">
        <v>1711</v>
      </c>
      <c r="H18" s="231">
        <v>1875</v>
      </c>
      <c r="I18" s="231">
        <v>1918</v>
      </c>
      <c r="J18" s="231">
        <v>1484</v>
      </c>
      <c r="K18" s="231">
        <v>1603</v>
      </c>
      <c r="L18" s="231">
        <v>1768</v>
      </c>
      <c r="M18" s="231">
        <v>1865</v>
      </c>
      <c r="N18" s="231">
        <v>2041</v>
      </c>
      <c r="O18" s="231">
        <v>2221</v>
      </c>
      <c r="P18" s="231">
        <v>2437</v>
      </c>
      <c r="Q18" s="231">
        <v>2666</v>
      </c>
      <c r="R18" s="231">
        <v>2880</v>
      </c>
      <c r="S18" s="231">
        <v>3079</v>
      </c>
      <c r="T18" s="231">
        <v>3009</v>
      </c>
    </row>
    <row r="19" spans="1:20" ht="17.25" customHeight="1">
      <c r="A19" s="232" t="s">
        <v>30</v>
      </c>
      <c r="B19" s="231">
        <v>1240</v>
      </c>
      <c r="C19" s="231">
        <v>1255</v>
      </c>
      <c r="D19" s="231">
        <v>1275</v>
      </c>
      <c r="E19" s="231">
        <v>1256</v>
      </c>
      <c r="F19" s="231">
        <v>1343</v>
      </c>
      <c r="G19" s="231">
        <v>1379</v>
      </c>
      <c r="H19" s="231">
        <v>1430</v>
      </c>
      <c r="I19" s="231">
        <v>1528</v>
      </c>
      <c r="J19" s="231">
        <v>2397</v>
      </c>
      <c r="K19" s="231">
        <v>2277</v>
      </c>
      <c r="L19" s="231">
        <v>2392</v>
      </c>
      <c r="M19" s="231">
        <v>2656</v>
      </c>
      <c r="N19" s="231">
        <v>2820</v>
      </c>
      <c r="O19" s="231">
        <v>3100</v>
      </c>
      <c r="P19" s="231">
        <v>3072</v>
      </c>
      <c r="Q19" s="231">
        <v>3110</v>
      </c>
      <c r="R19" s="231">
        <v>3148</v>
      </c>
      <c r="S19" s="231">
        <v>3239</v>
      </c>
      <c r="T19" s="231">
        <v>3174</v>
      </c>
    </row>
    <row r="20" spans="1:20" ht="17.25" customHeight="1">
      <c r="A20" s="232" t="s">
        <v>15</v>
      </c>
      <c r="B20" s="235">
        <f>B21-B7-B8-B9-B10-B11-B12-B13-B14-B15-B16-B17-B18-B19</f>
        <v>43161</v>
      </c>
      <c r="C20" s="235">
        <f t="shared" ref="C20:I20" si="0">C21-C7-C8-C9-C10-C11-C12-C13-C14-C15-C16-C17-C18-C19</f>
        <v>43981</v>
      </c>
      <c r="D20" s="235">
        <f t="shared" si="0"/>
        <v>48199</v>
      </c>
      <c r="E20" s="235">
        <f t="shared" si="0"/>
        <v>49433</v>
      </c>
      <c r="F20" s="235">
        <f t="shared" si="0"/>
        <v>52577</v>
      </c>
      <c r="G20" s="235">
        <f t="shared" si="0"/>
        <v>53960</v>
      </c>
      <c r="H20" s="235">
        <f t="shared" si="0"/>
        <v>55377</v>
      </c>
      <c r="I20" s="235">
        <f t="shared" si="0"/>
        <v>57689</v>
      </c>
      <c r="J20" s="235">
        <f>SUM(J21-J7-J8-J9-J10-J11-J12-J13-J14-J15-J16-J17-J18-J19)</f>
        <v>39763</v>
      </c>
      <c r="K20" s="235">
        <f t="shared" ref="K20:T20" si="1">SUM(K21-K7-K8-K9-K10-K11-K12-K13-K14-K15-K16-K17-K18-K19)</f>
        <v>39669</v>
      </c>
      <c r="L20" s="235">
        <f t="shared" si="1"/>
        <v>43604</v>
      </c>
      <c r="M20" s="235">
        <f t="shared" si="1"/>
        <v>45284</v>
      </c>
      <c r="N20" s="235">
        <f t="shared" si="1"/>
        <v>47845</v>
      </c>
      <c r="O20" s="235">
        <f t="shared" si="1"/>
        <v>48953.400000000023</v>
      </c>
      <c r="P20" s="235">
        <f t="shared" si="1"/>
        <v>50268.100000000006</v>
      </c>
      <c r="Q20" s="235">
        <f t="shared" si="1"/>
        <v>53019.799999999988</v>
      </c>
      <c r="R20" s="235">
        <f t="shared" si="1"/>
        <v>54604</v>
      </c>
      <c r="S20" s="235">
        <f t="shared" si="1"/>
        <v>58915</v>
      </c>
      <c r="T20" s="235">
        <f t="shared" si="1"/>
        <v>58213</v>
      </c>
    </row>
    <row r="21" spans="1:20" ht="17.25" customHeight="1">
      <c r="A21" s="282" t="s">
        <v>151</v>
      </c>
      <c r="B21" s="234">
        <v>171213</v>
      </c>
      <c r="C21" s="234">
        <v>176035</v>
      </c>
      <c r="D21" s="234">
        <v>184537</v>
      </c>
      <c r="E21" s="234">
        <v>192346</v>
      </c>
      <c r="F21" s="234">
        <v>200313</v>
      </c>
      <c r="G21" s="234">
        <v>203753</v>
      </c>
      <c r="H21" s="234">
        <v>211565</v>
      </c>
      <c r="I21" s="234">
        <v>218614</v>
      </c>
      <c r="J21" s="234">
        <v>171213</v>
      </c>
      <c r="K21" s="234">
        <v>176035</v>
      </c>
      <c r="L21" s="234">
        <v>184449</v>
      </c>
      <c r="M21" s="234">
        <v>192396</v>
      </c>
      <c r="N21" s="234">
        <v>200753</v>
      </c>
      <c r="O21" s="234">
        <v>205331.40000000002</v>
      </c>
      <c r="P21" s="234">
        <v>213366.1</v>
      </c>
      <c r="Q21" s="234">
        <v>221105.8</v>
      </c>
      <c r="R21" s="234">
        <v>230181</v>
      </c>
      <c r="S21" s="234">
        <v>238729</v>
      </c>
      <c r="T21" s="234">
        <v>236722</v>
      </c>
    </row>
    <row r="22" spans="1:20" s="184" customFormat="1" ht="17.25" customHeight="1">
      <c r="A22" s="184" t="s">
        <v>312</v>
      </c>
      <c r="B22" s="207"/>
      <c r="C22" s="207"/>
      <c r="D22" s="207"/>
      <c r="E22" s="207"/>
      <c r="F22" s="207"/>
      <c r="G22" s="207"/>
    </row>
    <row r="23" spans="1:20" ht="17.25" customHeight="1">
      <c r="A23" s="184"/>
    </row>
    <row r="24" spans="1:20" ht="17.25" customHeight="1">
      <c r="A24" s="184"/>
    </row>
  </sheetData>
  <mergeCells count="3">
    <mergeCell ref="A4:T4"/>
    <mergeCell ref="A3:T3"/>
    <mergeCell ref="A2:T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view="pageBreakPreview" zoomScaleNormal="100" zoomScaleSheetLayoutView="100" workbookViewId="0">
      <selection activeCell="H38" sqref="H38"/>
    </sheetView>
  </sheetViews>
  <sheetFormatPr defaultColWidth="9.6640625" defaultRowHeight="17.25" customHeight="1"/>
  <cols>
    <col min="1" max="1" width="16.1640625" style="147" customWidth="1"/>
    <col min="2" max="4" width="19.5" style="147" customWidth="1"/>
    <col min="5" max="6" width="22.1640625" style="147" customWidth="1"/>
    <col min="7" max="16384" width="9.6640625" style="147"/>
  </cols>
  <sheetData>
    <row r="1" spans="1:7" s="150" customFormat="1" ht="17.25" customHeight="1"/>
    <row r="2" spans="1:7" s="150" customFormat="1" ht="17.25" customHeight="1">
      <c r="A2" s="633" t="s">
        <v>382</v>
      </c>
      <c r="B2" s="633"/>
      <c r="C2" s="633"/>
      <c r="D2" s="633"/>
      <c r="E2" s="633"/>
      <c r="F2" s="633"/>
      <c r="G2" s="284"/>
    </row>
    <row r="3" spans="1:7" s="150" customFormat="1" ht="17.25" customHeight="1">
      <c r="A3" s="633" t="s">
        <v>331</v>
      </c>
      <c r="B3" s="633"/>
      <c r="C3" s="633"/>
      <c r="D3" s="633"/>
      <c r="E3" s="633"/>
      <c r="F3" s="633"/>
      <c r="G3" s="285"/>
    </row>
    <row r="4" spans="1:7" s="150" customFormat="1" ht="17.25" customHeight="1">
      <c r="A4" s="296"/>
      <c r="B4" s="296"/>
      <c r="C4" s="296"/>
      <c r="D4" s="296"/>
      <c r="E4" s="296"/>
      <c r="F4" s="296"/>
      <c r="G4" s="285"/>
    </row>
    <row r="5" spans="1:7" s="150" customFormat="1" ht="17.25" customHeight="1">
      <c r="A5" s="634" t="s">
        <v>113</v>
      </c>
      <c r="B5" s="634" t="s">
        <v>160</v>
      </c>
      <c r="C5" s="495" t="s">
        <v>109</v>
      </c>
      <c r="D5" s="495" t="s">
        <v>110</v>
      </c>
      <c r="E5" s="495" t="s">
        <v>111</v>
      </c>
      <c r="F5" s="495" t="s">
        <v>112</v>
      </c>
      <c r="G5" s="286"/>
    </row>
    <row r="6" spans="1:7" s="150" customFormat="1" ht="17.25" customHeight="1">
      <c r="A6" s="635"/>
      <c r="B6" s="635"/>
      <c r="C6" s="496" t="s">
        <v>161</v>
      </c>
      <c r="D6" s="496" t="s">
        <v>114</v>
      </c>
      <c r="E6" s="496" t="s">
        <v>115</v>
      </c>
      <c r="F6" s="496" t="s">
        <v>116</v>
      </c>
      <c r="G6" s="286"/>
    </row>
    <row r="7" spans="1:7" s="150" customFormat="1" ht="17.25" customHeight="1">
      <c r="A7" s="636"/>
      <c r="B7" s="636"/>
      <c r="C7" s="497" t="s">
        <v>59</v>
      </c>
      <c r="D7" s="497" t="s">
        <v>59</v>
      </c>
      <c r="E7" s="497" t="s">
        <v>106</v>
      </c>
      <c r="F7" s="497" t="s">
        <v>106</v>
      </c>
      <c r="G7" s="286"/>
    </row>
    <row r="8" spans="1:7" s="150" customFormat="1" ht="17.25" customHeight="1">
      <c r="A8" s="637" t="s">
        <v>117</v>
      </c>
      <c r="B8" s="287" t="s">
        <v>118</v>
      </c>
      <c r="C8" s="19">
        <v>20.21</v>
      </c>
      <c r="D8" s="325" t="s">
        <v>284</v>
      </c>
      <c r="E8" s="288">
        <v>17.190000000000001</v>
      </c>
      <c r="F8" s="326">
        <f>SUM(C8*E8)/100</f>
        <v>3.4740990000000007</v>
      </c>
      <c r="G8" s="290"/>
    </row>
    <row r="9" spans="1:7" s="150" customFormat="1" ht="17.25" customHeight="1">
      <c r="A9" s="638"/>
      <c r="B9" s="287" t="s">
        <v>119</v>
      </c>
      <c r="C9" s="19">
        <v>45.9</v>
      </c>
      <c r="D9" s="325" t="s">
        <v>285</v>
      </c>
      <c r="E9" s="288">
        <v>0.86</v>
      </c>
      <c r="F9" s="289">
        <f t="shared" ref="F9:F15" si="0">SUM(C9*E9)/100</f>
        <v>0.39473999999999998</v>
      </c>
      <c r="G9" s="290"/>
    </row>
    <row r="10" spans="1:7" s="150" customFormat="1" ht="17.25" customHeight="1">
      <c r="A10" s="291" t="s">
        <v>197</v>
      </c>
      <c r="B10" s="287" t="s">
        <v>120</v>
      </c>
      <c r="C10" s="19">
        <f>(58469/311511)*100</f>
        <v>18.769481655543462</v>
      </c>
      <c r="D10" s="325" t="s">
        <v>286</v>
      </c>
      <c r="E10" s="288">
        <f>338260/123900</f>
        <v>2.7301049233252623</v>
      </c>
      <c r="F10" s="289">
        <f t="shared" si="0"/>
        <v>0.51242654276062405</v>
      </c>
      <c r="G10" s="290"/>
    </row>
    <row r="11" spans="1:7" s="150" customFormat="1" ht="17.25" customHeight="1">
      <c r="A11" s="291" t="s">
        <v>44</v>
      </c>
      <c r="B11" s="287" t="s">
        <v>120</v>
      </c>
      <c r="C11" s="19">
        <f>(3900/9667)*100</f>
        <v>40.343436433226444</v>
      </c>
      <c r="D11" s="325" t="s">
        <v>287</v>
      </c>
      <c r="E11" s="288">
        <f>30900/26320</f>
        <v>1.1740121580547112</v>
      </c>
      <c r="F11" s="289">
        <f t="shared" si="0"/>
        <v>0.47363684870315231</v>
      </c>
      <c r="G11" s="290"/>
    </row>
    <row r="12" spans="1:7" s="150" customFormat="1" ht="17.25" customHeight="1">
      <c r="A12" s="291" t="s">
        <v>121</v>
      </c>
      <c r="B12" s="287" t="s">
        <v>120</v>
      </c>
      <c r="C12" s="19">
        <f>(4560/31768)*100</f>
        <v>14.354066985645932</v>
      </c>
      <c r="D12" s="327" t="s">
        <v>288</v>
      </c>
      <c r="E12" s="288">
        <f>42780/34450</f>
        <v>1.2417997097242379</v>
      </c>
      <c r="F12" s="289">
        <f t="shared" si="0"/>
        <v>0.17824876216137386</v>
      </c>
      <c r="G12" s="290"/>
    </row>
    <row r="13" spans="1:7" s="150" customFormat="1" ht="17.25" customHeight="1">
      <c r="A13" s="291" t="s">
        <v>45</v>
      </c>
      <c r="B13" s="287" t="s">
        <v>120</v>
      </c>
      <c r="C13" s="19">
        <f>(25136/61524)*100</f>
        <v>40.855601066250571</v>
      </c>
      <c r="D13" s="325" t="s">
        <v>287</v>
      </c>
      <c r="E13" s="288">
        <f>61690/31680</f>
        <v>1.9472853535353536</v>
      </c>
      <c r="F13" s="289">
        <f t="shared" si="0"/>
        <v>0.79557513566193105</v>
      </c>
      <c r="G13" s="290"/>
    </row>
    <row r="14" spans="1:7" s="150" customFormat="1" ht="17.25" customHeight="1">
      <c r="A14" s="291" t="s">
        <v>46</v>
      </c>
      <c r="B14" s="287" t="s">
        <v>120</v>
      </c>
      <c r="C14" s="19">
        <f>(21348/50307)*100</f>
        <v>42.43544635935357</v>
      </c>
      <c r="D14" s="325" t="s">
        <v>289</v>
      </c>
      <c r="E14" s="288">
        <f>55910/27440</f>
        <v>2.0375364431486882</v>
      </c>
      <c r="F14" s="289">
        <f t="shared" si="0"/>
        <v>0.86463768438464228</v>
      </c>
      <c r="G14" s="290"/>
    </row>
    <row r="15" spans="1:7" s="150" customFormat="1" ht="17.25" customHeight="1">
      <c r="A15" s="292" t="s">
        <v>35</v>
      </c>
      <c r="B15" s="293" t="s">
        <v>122</v>
      </c>
      <c r="C15" s="33">
        <f>(2618/4206)*100</f>
        <v>62.244412743699471</v>
      </c>
      <c r="D15" s="328" t="s">
        <v>290</v>
      </c>
      <c r="E15" s="294">
        <f>4260/9160</f>
        <v>0.46506550218340609</v>
      </c>
      <c r="F15" s="295">
        <f t="shared" si="0"/>
        <v>0.28947729070759798</v>
      </c>
      <c r="G15" s="290"/>
    </row>
    <row r="16" spans="1:7" s="150" customFormat="1" ht="17.25" customHeight="1">
      <c r="A16" s="297" t="s">
        <v>332</v>
      </c>
      <c r="B16" s="284"/>
      <c r="C16" s="284"/>
      <c r="D16" s="474"/>
      <c r="E16" s="475"/>
      <c r="F16" s="476"/>
      <c r="G16" s="290"/>
    </row>
    <row r="17" spans="1:7" s="184" customFormat="1" ht="17.25" customHeight="1">
      <c r="A17" s="184" t="s">
        <v>312</v>
      </c>
      <c r="B17" s="207"/>
      <c r="C17" s="207"/>
      <c r="D17" s="207"/>
      <c r="E17" s="207"/>
      <c r="F17" s="207"/>
      <c r="G17" s="207"/>
    </row>
    <row r="18" spans="1:7" s="150" customFormat="1" ht="17.25" customHeight="1">
      <c r="A18" s="284"/>
      <c r="B18" s="284"/>
      <c r="C18" s="284"/>
      <c r="D18" s="284"/>
    </row>
  </sheetData>
  <mergeCells count="5">
    <mergeCell ref="A2:F2"/>
    <mergeCell ref="A3:F3"/>
    <mergeCell ref="A5:A7"/>
    <mergeCell ref="B5:B7"/>
    <mergeCell ref="A8:A9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view="pageBreakPreview" zoomScaleNormal="100" zoomScaleSheetLayoutView="100" workbookViewId="0">
      <selection activeCell="H38" sqref="H38"/>
    </sheetView>
  </sheetViews>
  <sheetFormatPr defaultColWidth="10.6640625" defaultRowHeight="17.25" customHeight="1"/>
  <cols>
    <col min="1" max="1" width="25" style="41" bestFit="1" customWidth="1"/>
    <col min="2" max="11" width="16" style="41" hidden="1" customWidth="1"/>
    <col min="12" max="22" width="15.5" style="41" customWidth="1"/>
    <col min="23" max="16384" width="10.6640625" style="41"/>
  </cols>
  <sheetData>
    <row r="1" spans="1:23" s="52" customFormat="1" ht="17.25" customHeight="1"/>
    <row r="2" spans="1:23" s="52" customFormat="1" ht="17.25" customHeight="1">
      <c r="A2" s="567" t="s">
        <v>103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442"/>
    </row>
    <row r="3" spans="1:23" s="52" customFormat="1" ht="17.25" customHeight="1">
      <c r="A3" s="567" t="s">
        <v>128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442"/>
    </row>
    <row r="4" spans="1:23" s="52" customFormat="1" ht="17.25" customHeight="1">
      <c r="A4" s="567" t="s">
        <v>80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442"/>
    </row>
    <row r="5" spans="1:23" s="52" customFormat="1" ht="17.25" customHeight="1"/>
    <row r="6" spans="1:23" s="45" customFormat="1" ht="17.25" customHeight="1">
      <c r="A6" s="42" t="s">
        <v>81</v>
      </c>
      <c r="B6" s="44">
        <v>2000</v>
      </c>
      <c r="C6" s="42">
        <v>2001</v>
      </c>
      <c r="D6" s="42">
        <v>2002</v>
      </c>
      <c r="E6" s="42">
        <v>2003</v>
      </c>
      <c r="F6" s="42">
        <v>2004</v>
      </c>
      <c r="G6" s="42">
        <v>2005</v>
      </c>
      <c r="H6" s="42">
        <v>2006</v>
      </c>
      <c r="I6" s="43">
        <v>2007</v>
      </c>
      <c r="J6" s="42">
        <v>2008</v>
      </c>
      <c r="K6" s="42">
        <v>2009</v>
      </c>
      <c r="L6" s="42">
        <v>2010</v>
      </c>
      <c r="M6" s="42">
        <v>2011</v>
      </c>
      <c r="N6" s="42">
        <v>2012</v>
      </c>
      <c r="O6" s="42">
        <v>2013</v>
      </c>
      <c r="P6" s="42">
        <v>2014</v>
      </c>
      <c r="Q6" s="42">
        <v>2015</v>
      </c>
      <c r="R6" s="42">
        <v>2016</v>
      </c>
      <c r="S6" s="42">
        <v>2017</v>
      </c>
      <c r="T6" s="42">
        <v>2018</v>
      </c>
      <c r="U6" s="42">
        <v>2019</v>
      </c>
      <c r="V6" s="42">
        <v>2020</v>
      </c>
    </row>
    <row r="7" spans="1:23" s="52" customFormat="1" ht="17.25" customHeight="1">
      <c r="A7" s="46" t="s">
        <v>83</v>
      </c>
      <c r="B7" s="49">
        <v>2382213</v>
      </c>
      <c r="C7" s="50">
        <v>2327866</v>
      </c>
      <c r="D7" s="50">
        <v>2272526</v>
      </c>
      <c r="E7" s="50">
        <v>2606120</v>
      </c>
      <c r="F7" s="50">
        <v>2592338</v>
      </c>
      <c r="G7" s="50">
        <v>2570267</v>
      </c>
      <c r="H7" s="50">
        <v>2821040</v>
      </c>
      <c r="I7" s="51">
        <v>2625238</v>
      </c>
      <c r="J7" s="50">
        <v>2921328</v>
      </c>
      <c r="K7" s="50">
        <v>2937845</v>
      </c>
      <c r="L7" s="50">
        <v>2808199</v>
      </c>
      <c r="M7" s="50">
        <v>3022336</v>
      </c>
      <c r="N7" s="50">
        <v>2946730</v>
      </c>
      <c r="O7" s="50">
        <v>3013784</v>
      </c>
      <c r="P7" s="50">
        <v>3047049</v>
      </c>
      <c r="Q7" s="50">
        <v>3117619</v>
      </c>
      <c r="R7" s="50">
        <v>2745389</v>
      </c>
      <c r="S7" s="50">
        <v>3142522</v>
      </c>
      <c r="T7" s="50">
        <v>3113455</v>
      </c>
      <c r="U7" s="50">
        <v>3142218</v>
      </c>
      <c r="V7" s="50">
        <v>3157647</v>
      </c>
    </row>
    <row r="8" spans="1:23" s="52" customFormat="1" ht="17.25" customHeight="1">
      <c r="A8" s="46" t="s">
        <v>89</v>
      </c>
      <c r="B8" s="49">
        <v>111976</v>
      </c>
      <c r="C8" s="50">
        <v>99414</v>
      </c>
      <c r="D8" s="50">
        <v>84220</v>
      </c>
      <c r="E8" s="50">
        <v>108722</v>
      </c>
      <c r="F8" s="50">
        <v>135150</v>
      </c>
      <c r="G8" s="50">
        <v>157456</v>
      </c>
      <c r="H8" s="50">
        <v>221964</v>
      </c>
      <c r="I8" s="51">
        <v>246842</v>
      </c>
      <c r="J8" s="50">
        <v>301221</v>
      </c>
      <c r="K8" s="50">
        <v>311008</v>
      </c>
      <c r="L8" s="50">
        <v>277538</v>
      </c>
      <c r="M8" s="50">
        <v>322493</v>
      </c>
      <c r="N8" s="50">
        <v>324050</v>
      </c>
      <c r="O8" s="50">
        <v>283716</v>
      </c>
      <c r="P8" s="50">
        <v>244952</v>
      </c>
      <c r="Q8" s="50">
        <v>315649</v>
      </c>
      <c r="R8" s="50">
        <v>222309</v>
      </c>
      <c r="S8" s="50">
        <v>309346</v>
      </c>
      <c r="T8" s="50">
        <v>265770</v>
      </c>
      <c r="U8" s="50">
        <v>239073</v>
      </c>
      <c r="V8" s="50">
        <v>218106</v>
      </c>
    </row>
    <row r="9" spans="1:23" s="52" customFormat="1" ht="17.25" customHeight="1">
      <c r="A9" s="46" t="s">
        <v>90</v>
      </c>
      <c r="B9" s="49">
        <v>157977</v>
      </c>
      <c r="C9" s="50">
        <v>202823</v>
      </c>
      <c r="D9" s="50">
        <v>207206</v>
      </c>
      <c r="E9" s="50">
        <v>229420</v>
      </c>
      <c r="F9" s="50">
        <v>209514</v>
      </c>
      <c r="G9" s="50">
        <v>226471</v>
      </c>
      <c r="H9" s="50">
        <v>233283</v>
      </c>
      <c r="I9" s="51">
        <v>226737</v>
      </c>
      <c r="J9" s="50">
        <v>275916</v>
      </c>
      <c r="K9" s="50">
        <v>250572</v>
      </c>
      <c r="L9" s="50">
        <v>234864</v>
      </c>
      <c r="M9" s="50">
        <v>252061</v>
      </c>
      <c r="N9" s="50">
        <v>255916</v>
      </c>
      <c r="O9" s="50">
        <v>289769</v>
      </c>
      <c r="P9" s="50">
        <v>284644</v>
      </c>
      <c r="Q9" s="50">
        <v>281412</v>
      </c>
      <c r="R9" s="50">
        <v>278086</v>
      </c>
      <c r="S9" s="50">
        <v>318979</v>
      </c>
      <c r="T9" s="50">
        <v>294884</v>
      </c>
      <c r="U9" s="50">
        <v>332438</v>
      </c>
      <c r="V9" s="50">
        <v>338021</v>
      </c>
    </row>
    <row r="10" spans="1:23" s="52" customFormat="1" ht="17.25" customHeight="1">
      <c r="A10" s="46" t="s">
        <v>107</v>
      </c>
      <c r="B10" s="49">
        <v>437875</v>
      </c>
      <c r="C10" s="50">
        <v>467336</v>
      </c>
      <c r="D10" s="50">
        <v>363087</v>
      </c>
      <c r="E10" s="50">
        <v>427459</v>
      </c>
      <c r="F10" s="50">
        <v>413608</v>
      </c>
      <c r="G10" s="50">
        <v>443484</v>
      </c>
      <c r="H10" s="50">
        <v>491354</v>
      </c>
      <c r="I10" s="51">
        <v>470789</v>
      </c>
      <c r="J10" s="50">
        <v>592464</v>
      </c>
      <c r="K10" s="50">
        <v>586323</v>
      </c>
      <c r="L10" s="50">
        <v>535503</v>
      </c>
      <c r="M10" s="50">
        <v>643339</v>
      </c>
      <c r="N10" s="50">
        <v>696399</v>
      </c>
      <c r="O10" s="50">
        <v>662173</v>
      </c>
      <c r="P10" s="50">
        <v>612780</v>
      </c>
      <c r="Q10" s="50">
        <v>680285</v>
      </c>
      <c r="R10" s="50">
        <v>542561</v>
      </c>
      <c r="S10" s="50">
        <v>682945</v>
      </c>
      <c r="T10" s="50">
        <v>679451</v>
      </c>
      <c r="U10" s="50">
        <v>698440</v>
      </c>
      <c r="V10" s="50">
        <v>651310</v>
      </c>
    </row>
    <row r="11" spans="1:23" s="52" customFormat="1" ht="17.25" customHeight="1">
      <c r="A11" s="46" t="s">
        <v>84</v>
      </c>
      <c r="B11" s="49">
        <v>1773883</v>
      </c>
      <c r="C11" s="50">
        <v>2047531</v>
      </c>
      <c r="D11" s="50">
        <v>1812803</v>
      </c>
      <c r="E11" s="50">
        <v>2013860</v>
      </c>
      <c r="F11" s="50">
        <v>2025803</v>
      </c>
      <c r="G11" s="50">
        <v>2132524</v>
      </c>
      <c r="H11" s="50">
        <v>2292902</v>
      </c>
      <c r="I11" s="51">
        <v>2158802</v>
      </c>
      <c r="J11" s="50">
        <v>2750385</v>
      </c>
      <c r="K11" s="50">
        <v>2720460</v>
      </c>
      <c r="L11" s="50">
        <v>2548432</v>
      </c>
      <c r="M11" s="50">
        <v>2799565</v>
      </c>
      <c r="N11" s="50">
        <v>2828380</v>
      </c>
      <c r="O11" s="50">
        <v>2962088</v>
      </c>
      <c r="P11" s="50">
        <v>2889343</v>
      </c>
      <c r="Q11" s="50">
        <v>2950300</v>
      </c>
      <c r="R11" s="50">
        <v>2422681</v>
      </c>
      <c r="S11" s="50">
        <v>2849622</v>
      </c>
      <c r="T11" s="50">
        <v>2754382</v>
      </c>
      <c r="U11" s="50">
        <v>3019773</v>
      </c>
      <c r="V11" s="50">
        <v>2998600</v>
      </c>
    </row>
    <row r="12" spans="1:23" s="52" customFormat="1" ht="17.25" customHeight="1">
      <c r="A12" s="46" t="s">
        <v>86</v>
      </c>
      <c r="B12" s="49">
        <v>1273488</v>
      </c>
      <c r="C12" s="50">
        <v>1280487</v>
      </c>
      <c r="D12" s="50">
        <v>1291994</v>
      </c>
      <c r="E12" s="50">
        <v>1454439</v>
      </c>
      <c r="F12" s="50">
        <v>1597833</v>
      </c>
      <c r="G12" s="50">
        <v>1620522</v>
      </c>
      <c r="H12" s="50">
        <v>1724472</v>
      </c>
      <c r="I12" s="51">
        <v>1719431</v>
      </c>
      <c r="J12" s="50">
        <v>1940432</v>
      </c>
      <c r="K12" s="50">
        <v>1980885</v>
      </c>
      <c r="L12" s="50">
        <v>1807983</v>
      </c>
      <c r="M12" s="50">
        <v>1962530</v>
      </c>
      <c r="N12" s="50">
        <v>1930822</v>
      </c>
      <c r="O12" s="50">
        <v>1884658</v>
      </c>
      <c r="P12" s="50">
        <v>1907711</v>
      </c>
      <c r="Q12" s="50">
        <v>1989285</v>
      </c>
      <c r="R12" s="50">
        <v>1629338</v>
      </c>
      <c r="S12" s="50">
        <v>2029909</v>
      </c>
      <c r="T12" s="50">
        <v>1861067</v>
      </c>
      <c r="U12" s="50">
        <v>1854050</v>
      </c>
      <c r="V12" s="50">
        <v>1840646</v>
      </c>
    </row>
    <row r="13" spans="1:23" s="52" customFormat="1" ht="17.25" customHeight="1">
      <c r="A13" s="46" t="s">
        <v>87</v>
      </c>
      <c r="B13" s="49">
        <v>621653</v>
      </c>
      <c r="C13" s="50">
        <v>577227</v>
      </c>
      <c r="D13" s="50">
        <v>530795</v>
      </c>
      <c r="E13" s="50">
        <v>607070</v>
      </c>
      <c r="F13" s="50">
        <v>596610</v>
      </c>
      <c r="G13" s="50">
        <v>592141</v>
      </c>
      <c r="H13" s="50">
        <v>615493</v>
      </c>
      <c r="I13" s="51">
        <v>574429</v>
      </c>
      <c r="J13" s="50">
        <v>673978</v>
      </c>
      <c r="K13" s="50">
        <v>664069</v>
      </c>
      <c r="L13" s="50">
        <v>594045</v>
      </c>
      <c r="M13" s="50">
        <v>613231</v>
      </c>
      <c r="N13" s="50">
        <v>631792</v>
      </c>
      <c r="O13" s="50">
        <v>550243</v>
      </c>
      <c r="P13" s="50">
        <v>509666</v>
      </c>
      <c r="Q13" s="50">
        <v>503878</v>
      </c>
      <c r="R13" s="50">
        <v>418090</v>
      </c>
      <c r="S13" s="50">
        <v>532519</v>
      </c>
      <c r="T13" s="50">
        <v>519504</v>
      </c>
      <c r="U13" s="50">
        <v>521837</v>
      </c>
      <c r="V13" s="50">
        <v>509535</v>
      </c>
    </row>
    <row r="14" spans="1:23" s="52" customFormat="1" ht="17.25" customHeight="1">
      <c r="A14" s="46" t="s">
        <v>88</v>
      </c>
      <c r="B14" s="49">
        <v>367428</v>
      </c>
      <c r="C14" s="50">
        <v>379059</v>
      </c>
      <c r="D14" s="50">
        <v>371645</v>
      </c>
      <c r="E14" s="50">
        <v>404074</v>
      </c>
      <c r="F14" s="50">
        <v>389326</v>
      </c>
      <c r="G14" s="50">
        <v>419491</v>
      </c>
      <c r="H14" s="50">
        <v>406693</v>
      </c>
      <c r="I14" s="51">
        <v>447165</v>
      </c>
      <c r="J14" s="50">
        <v>502630</v>
      </c>
      <c r="K14" s="50">
        <v>470275</v>
      </c>
      <c r="L14" s="50">
        <v>488794</v>
      </c>
      <c r="M14" s="50">
        <v>515969</v>
      </c>
      <c r="N14" s="50">
        <v>493129</v>
      </c>
      <c r="O14" s="50">
        <v>484734</v>
      </c>
      <c r="P14" s="50">
        <v>481027</v>
      </c>
      <c r="Q14" s="50">
        <v>496529</v>
      </c>
      <c r="R14" s="50">
        <v>445965</v>
      </c>
      <c r="S14" s="50">
        <v>494731</v>
      </c>
      <c r="T14" s="50">
        <v>486416</v>
      </c>
      <c r="U14" s="50">
        <v>556230</v>
      </c>
      <c r="V14" s="50">
        <v>541371</v>
      </c>
    </row>
    <row r="15" spans="1:23" s="52" customFormat="1" ht="17.25" customHeight="1">
      <c r="A15" s="46" t="s">
        <v>198</v>
      </c>
      <c r="B15" s="50">
        <v>85046</v>
      </c>
      <c r="C15" s="50">
        <v>95595</v>
      </c>
      <c r="D15" s="50">
        <v>84730</v>
      </c>
      <c r="E15" s="50">
        <v>93735</v>
      </c>
      <c r="F15" s="50">
        <v>133893</v>
      </c>
      <c r="G15" s="50">
        <v>128896</v>
      </c>
      <c r="H15" s="50">
        <v>164846</v>
      </c>
      <c r="I15" s="50">
        <v>157569</v>
      </c>
      <c r="J15" s="50">
        <v>171286</v>
      </c>
      <c r="K15" s="50">
        <v>199027</v>
      </c>
      <c r="L15" s="50">
        <v>202762</v>
      </c>
      <c r="M15" s="50">
        <v>241297</v>
      </c>
      <c r="N15" s="50">
        <v>212556</v>
      </c>
      <c r="O15" s="50">
        <v>196860</v>
      </c>
      <c r="P15" s="50">
        <v>194936</v>
      </c>
      <c r="Q15" s="50">
        <v>201510</v>
      </c>
      <c r="R15" s="50">
        <v>182219</v>
      </c>
      <c r="S15" s="50">
        <v>215347</v>
      </c>
      <c r="T15" s="50">
        <v>222517</v>
      </c>
      <c r="U15" s="50">
        <v>219729</v>
      </c>
      <c r="V15" s="50">
        <v>183663</v>
      </c>
    </row>
    <row r="16" spans="1:23" s="442" customFormat="1" ht="17.25" customHeight="1">
      <c r="A16" s="443" t="s">
        <v>295</v>
      </c>
      <c r="B16" s="444">
        <v>7211539</v>
      </c>
      <c r="C16" s="444">
        <v>7477338</v>
      </c>
      <c r="D16" s="444">
        <v>7019006</v>
      </c>
      <c r="E16" s="444">
        <v>7944899</v>
      </c>
      <c r="F16" s="444">
        <v>8094075</v>
      </c>
      <c r="G16" s="444">
        <v>8291252</v>
      </c>
      <c r="H16" s="444">
        <v>8972047</v>
      </c>
      <c r="I16" s="444">
        <v>8627002</v>
      </c>
      <c r="J16" s="444">
        <v>10129640</v>
      </c>
      <c r="K16" s="444">
        <v>10120464</v>
      </c>
      <c r="L16" s="444">
        <v>9498120</v>
      </c>
      <c r="M16" s="444">
        <v>10372821</v>
      </c>
      <c r="N16" s="444">
        <v>10319774</v>
      </c>
      <c r="O16" s="444">
        <v>10328025</v>
      </c>
      <c r="P16" s="444">
        <v>10172108</v>
      </c>
      <c r="Q16" s="444">
        <v>10536467</v>
      </c>
      <c r="R16" s="444">
        <v>8886638</v>
      </c>
      <c r="S16" s="444">
        <v>10575920</v>
      </c>
      <c r="T16" s="444">
        <v>10197446</v>
      </c>
      <c r="U16" s="444">
        <v>10583788</v>
      </c>
      <c r="V16" s="444">
        <v>10438899</v>
      </c>
    </row>
    <row r="17" spans="1:22" s="52" customFormat="1" ht="17.25" customHeight="1">
      <c r="A17" s="46" t="s">
        <v>82</v>
      </c>
      <c r="B17" s="49">
        <v>3110320</v>
      </c>
      <c r="C17" s="50">
        <v>3716168</v>
      </c>
      <c r="D17" s="50">
        <v>4152428</v>
      </c>
      <c r="E17" s="50">
        <v>4523397</v>
      </c>
      <c r="F17" s="50">
        <v>4765561</v>
      </c>
      <c r="G17" s="50">
        <v>5333764</v>
      </c>
      <c r="H17" s="50">
        <v>5405617</v>
      </c>
      <c r="I17" s="441">
        <v>5561484</v>
      </c>
      <c r="J17" s="50">
        <v>5740430</v>
      </c>
      <c r="K17" s="50">
        <v>5449694</v>
      </c>
      <c r="L17" s="50">
        <v>5315996</v>
      </c>
      <c r="M17" s="50">
        <v>5843165</v>
      </c>
      <c r="N17" s="50">
        <v>5542649</v>
      </c>
      <c r="O17" s="50">
        <v>5776459</v>
      </c>
      <c r="P17" s="50">
        <v>6055569</v>
      </c>
      <c r="Q17" s="50">
        <v>5722967</v>
      </c>
      <c r="R17" s="50">
        <v>4847253</v>
      </c>
      <c r="S17" s="50">
        <v>5215345</v>
      </c>
      <c r="T17" s="50">
        <v>5139356</v>
      </c>
      <c r="U17" s="50">
        <v>5037168</v>
      </c>
      <c r="V17" s="50">
        <v>4647375</v>
      </c>
    </row>
    <row r="18" spans="1:22" s="52" customFormat="1" ht="17.25" customHeight="1">
      <c r="A18" s="46" t="s">
        <v>85</v>
      </c>
      <c r="B18" s="49">
        <v>520236</v>
      </c>
      <c r="C18" s="50">
        <v>610282</v>
      </c>
      <c r="D18" s="50">
        <v>737864</v>
      </c>
      <c r="E18" s="50">
        <v>886473</v>
      </c>
      <c r="F18" s="50">
        <v>1116546</v>
      </c>
      <c r="G18" s="50">
        <v>1336638</v>
      </c>
      <c r="H18" s="50">
        <v>1503122</v>
      </c>
      <c r="I18" s="51">
        <v>1635259</v>
      </c>
      <c r="J18" s="50">
        <v>1864372</v>
      </c>
      <c r="K18" s="50">
        <v>1994780</v>
      </c>
      <c r="L18" s="50">
        <v>2179601</v>
      </c>
      <c r="M18" s="50">
        <v>2695534</v>
      </c>
      <c r="N18" s="50">
        <v>2922607</v>
      </c>
      <c r="O18" s="50">
        <v>3111975</v>
      </c>
      <c r="P18" s="50">
        <v>3439339</v>
      </c>
      <c r="Q18" s="50">
        <v>3702147</v>
      </c>
      <c r="R18" s="50">
        <v>3585286</v>
      </c>
      <c r="S18" s="50">
        <v>4128066</v>
      </c>
      <c r="T18" s="50">
        <v>4179339</v>
      </c>
      <c r="U18" s="50">
        <v>4237411</v>
      </c>
      <c r="V18" s="50">
        <v>4054339</v>
      </c>
    </row>
    <row r="19" spans="1:22" s="52" customFormat="1" ht="17.25" customHeight="1">
      <c r="A19" s="47" t="s">
        <v>0</v>
      </c>
      <c r="B19" s="48">
        <v>10842095</v>
      </c>
      <c r="C19" s="48">
        <v>11803788</v>
      </c>
      <c r="D19" s="48">
        <v>11909298</v>
      </c>
      <c r="E19" s="48">
        <v>13354769</v>
      </c>
      <c r="F19" s="48">
        <v>13976182</v>
      </c>
      <c r="G19" s="48">
        <v>14961654</v>
      </c>
      <c r="H19" s="48">
        <v>15880786</v>
      </c>
      <c r="I19" s="48">
        <v>15823745</v>
      </c>
      <c r="J19" s="48">
        <v>17734442</v>
      </c>
      <c r="K19" s="48">
        <v>17564938</v>
      </c>
      <c r="L19" s="48">
        <v>16993717</v>
      </c>
      <c r="M19" s="48">
        <v>18911520</v>
      </c>
      <c r="N19" s="48">
        <v>18785030</v>
      </c>
      <c r="O19" s="48">
        <v>19216459</v>
      </c>
      <c r="P19" s="48">
        <v>19667016</v>
      </c>
      <c r="Q19" s="48">
        <v>19961581</v>
      </c>
      <c r="R19" s="48">
        <v>17319177</v>
      </c>
      <c r="S19" s="48">
        <v>19919331</v>
      </c>
      <c r="T19" s="48">
        <v>19516141</v>
      </c>
      <c r="U19" s="48">
        <v>19858367</v>
      </c>
      <c r="V19" s="48">
        <v>19140613</v>
      </c>
    </row>
    <row r="20" spans="1:22" s="52" customFormat="1" ht="17.25" customHeight="1">
      <c r="A20" s="53" t="s">
        <v>99</v>
      </c>
      <c r="K20" s="54" t="s">
        <v>123</v>
      </c>
      <c r="N20" s="40"/>
    </row>
    <row r="21" spans="1:22" s="52" customFormat="1" ht="17.25" customHeight="1">
      <c r="K21" s="55"/>
      <c r="N21" s="37"/>
      <c r="O21" s="37"/>
    </row>
  </sheetData>
  <sortState ref="A7:V14">
    <sortCondition ref="A7:A14"/>
  </sortState>
  <mergeCells count="3">
    <mergeCell ref="A4:V4"/>
    <mergeCell ref="A3:V3"/>
    <mergeCell ref="A2:V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14.6640625" style="2" customWidth="1"/>
    <col min="2" max="4" width="23.1640625" style="2" customWidth="1"/>
    <col min="5" max="5" width="9.1640625" style="2" customWidth="1"/>
    <col min="6" max="16384" width="9.1640625" style="2"/>
  </cols>
  <sheetData>
    <row r="1" spans="1:5" s="10" customFormat="1" ht="17.25" customHeight="1"/>
    <row r="2" spans="1:5" s="10" customFormat="1" ht="17.25" customHeight="1">
      <c r="A2" s="570" t="s">
        <v>95</v>
      </c>
      <c r="B2" s="570"/>
      <c r="C2" s="570"/>
      <c r="D2" s="570"/>
    </row>
    <row r="3" spans="1:5" s="10" customFormat="1" ht="32.25" customHeight="1">
      <c r="A3" s="569" t="s">
        <v>241</v>
      </c>
      <c r="B3" s="569"/>
      <c r="C3" s="569"/>
      <c r="D3" s="569"/>
      <c r="E3" s="65"/>
    </row>
    <row r="4" spans="1:5" s="10" customFormat="1" ht="17.25" customHeight="1">
      <c r="A4" s="568" t="s">
        <v>72</v>
      </c>
      <c r="B4" s="568"/>
      <c r="C4" s="568"/>
      <c r="D4" s="568"/>
    </row>
    <row r="5" spans="1:5" s="10" customFormat="1" ht="17.25" customHeight="1">
      <c r="A5" s="66"/>
      <c r="B5" s="479"/>
      <c r="C5" s="479"/>
      <c r="D5" s="479"/>
    </row>
    <row r="6" spans="1:5" s="10" customFormat="1" ht="30">
      <c r="A6" s="57" t="s">
        <v>60</v>
      </c>
      <c r="B6" s="57" t="s">
        <v>76</v>
      </c>
      <c r="C6" s="64" t="s">
        <v>242</v>
      </c>
      <c r="D6" s="58" t="s">
        <v>74</v>
      </c>
    </row>
    <row r="7" spans="1:5" s="10" customFormat="1" ht="17.25" hidden="1" customHeight="1">
      <c r="A7" s="59">
        <v>1999</v>
      </c>
      <c r="B7" s="60">
        <v>3025690</v>
      </c>
      <c r="C7" s="60">
        <v>1338905</v>
      </c>
      <c r="D7" s="61">
        <v>1624134</v>
      </c>
    </row>
    <row r="8" spans="1:5" s="10" customFormat="1" ht="17.25" customHeight="1">
      <c r="A8" s="59">
        <v>2000</v>
      </c>
      <c r="B8" s="60">
        <v>3162760</v>
      </c>
      <c r="C8" s="60">
        <v>1384685</v>
      </c>
      <c r="D8" s="61">
        <v>1639227</v>
      </c>
    </row>
    <row r="9" spans="1:5" s="10" customFormat="1" ht="17.25" customHeight="1">
      <c r="A9" s="59">
        <v>2001</v>
      </c>
      <c r="B9" s="60">
        <v>3367710</v>
      </c>
      <c r="C9" s="60">
        <v>1531917</v>
      </c>
      <c r="D9" s="61">
        <v>1781641</v>
      </c>
    </row>
    <row r="10" spans="1:5" s="10" customFormat="1" ht="17.25" customHeight="1">
      <c r="A10" s="59">
        <v>2002</v>
      </c>
      <c r="B10" s="60">
        <v>3268635</v>
      </c>
      <c r="C10" s="60">
        <v>1472932</v>
      </c>
      <c r="D10" s="61">
        <v>1714522</v>
      </c>
    </row>
    <row r="11" spans="1:5" s="10" customFormat="1" ht="17.25" customHeight="1">
      <c r="A11" s="59">
        <v>2003</v>
      </c>
      <c r="B11" s="60">
        <v>3627235</v>
      </c>
      <c r="C11" s="60">
        <v>1644126</v>
      </c>
      <c r="D11" s="61">
        <v>1910100</v>
      </c>
    </row>
    <row r="12" spans="1:5" s="10" customFormat="1" ht="17.25" customHeight="1">
      <c r="A12" s="59">
        <v>2004</v>
      </c>
      <c r="B12" s="60">
        <v>3661456</v>
      </c>
      <c r="C12" s="60">
        <v>1644445</v>
      </c>
      <c r="D12" s="61">
        <v>1894017</v>
      </c>
    </row>
    <row r="13" spans="1:5" s="10" customFormat="1" ht="17.25" customHeight="1">
      <c r="A13" s="59">
        <v>2005</v>
      </c>
      <c r="B13" s="60">
        <v>3964031</v>
      </c>
      <c r="C13" s="60">
        <v>1842628</v>
      </c>
      <c r="D13" s="61">
        <v>2095876</v>
      </c>
    </row>
    <row r="14" spans="1:5" s="10" customFormat="1" ht="17.25" customHeight="1">
      <c r="A14" s="59">
        <v>2006</v>
      </c>
      <c r="B14" s="60">
        <v>4125124</v>
      </c>
      <c r="C14" s="60">
        <v>1955634</v>
      </c>
      <c r="D14" s="61">
        <v>2200225</v>
      </c>
    </row>
    <row r="15" spans="1:5" s="10" customFormat="1" ht="17.25" customHeight="1">
      <c r="A15" s="62" t="s">
        <v>94</v>
      </c>
      <c r="B15" s="60">
        <v>4096989</v>
      </c>
      <c r="C15" s="60">
        <v>1907613</v>
      </c>
      <c r="D15" s="61">
        <v>2152488</v>
      </c>
    </row>
    <row r="16" spans="1:5" s="10" customFormat="1" ht="17.25" customHeight="1">
      <c r="A16" s="59">
        <v>2008</v>
      </c>
      <c r="B16" s="60">
        <v>4577500</v>
      </c>
      <c r="C16" s="60">
        <v>2131399</v>
      </c>
      <c r="D16" s="61">
        <v>2358732</v>
      </c>
    </row>
    <row r="17" spans="1:4" s="10" customFormat="1" ht="17.25" customHeight="1">
      <c r="A17" s="59">
        <v>2009</v>
      </c>
      <c r="B17" s="60">
        <v>4500683</v>
      </c>
      <c r="C17" s="60">
        <v>2097059</v>
      </c>
      <c r="D17" s="61">
        <v>2312222</v>
      </c>
    </row>
    <row r="18" spans="1:4" s="10" customFormat="1" ht="17.25" customHeight="1">
      <c r="A18" s="59">
        <v>2010</v>
      </c>
      <c r="B18" s="60">
        <v>4292076</v>
      </c>
      <c r="C18" s="60">
        <v>2014943</v>
      </c>
      <c r="D18" s="61">
        <v>2242277</v>
      </c>
    </row>
    <row r="19" spans="1:4" s="10" customFormat="1" ht="17.25" customHeight="1">
      <c r="A19" s="59">
        <v>2011</v>
      </c>
      <c r="B19" s="60">
        <v>4706603</v>
      </c>
      <c r="C19" s="60">
        <v>2144698</v>
      </c>
      <c r="D19" s="61">
        <v>2387056</v>
      </c>
    </row>
    <row r="20" spans="1:4" s="10" customFormat="1" ht="17.25" customHeight="1">
      <c r="A20" s="59">
        <v>2012</v>
      </c>
      <c r="B20" s="61">
        <v>4705900</v>
      </c>
      <c r="C20" s="61">
        <v>2164024</v>
      </c>
      <c r="D20" s="61">
        <v>2399204</v>
      </c>
    </row>
    <row r="21" spans="1:4" s="10" customFormat="1" ht="17.25" customHeight="1">
      <c r="A21" s="59">
        <v>2013</v>
      </c>
      <c r="B21" s="61">
        <v>4859302</v>
      </c>
      <c r="C21" s="61">
        <v>2269822</v>
      </c>
      <c r="D21" s="61">
        <v>2516664</v>
      </c>
    </row>
    <row r="22" spans="1:4" s="10" customFormat="1" ht="17.25" customHeight="1">
      <c r="A22" s="59">
        <v>2014</v>
      </c>
      <c r="B22" s="61">
        <v>4888756</v>
      </c>
      <c r="C22" s="61">
        <v>2277382</v>
      </c>
      <c r="D22" s="61">
        <v>2518947</v>
      </c>
    </row>
    <row r="23" spans="1:4" s="10" customFormat="1" ht="17.25" customHeight="1">
      <c r="A23" s="59">
        <v>2015</v>
      </c>
      <c r="B23" s="61">
        <v>4915661</v>
      </c>
      <c r="C23" s="61">
        <v>2276466</v>
      </c>
      <c r="D23" s="61">
        <v>2519990</v>
      </c>
    </row>
    <row r="24" spans="1:4" s="10" customFormat="1" ht="17.25" customHeight="1">
      <c r="A24" s="59">
        <v>2016</v>
      </c>
      <c r="B24" s="61">
        <v>4190436</v>
      </c>
      <c r="C24" s="61">
        <v>1959423</v>
      </c>
      <c r="D24" s="61">
        <v>2173000</v>
      </c>
    </row>
    <row r="25" spans="1:4" s="10" customFormat="1" ht="17.25" customHeight="1">
      <c r="A25" s="59">
        <v>2017</v>
      </c>
      <c r="B25" s="61">
        <v>4950961</v>
      </c>
      <c r="C25" s="61">
        <v>2280913</v>
      </c>
      <c r="D25" s="61">
        <v>2543036</v>
      </c>
    </row>
    <row r="26" spans="1:4" s="10" customFormat="1" ht="17.25" customHeight="1">
      <c r="A26" s="59">
        <v>2018</v>
      </c>
      <c r="B26" s="61">
        <v>4859393</v>
      </c>
      <c r="C26" s="61">
        <v>2299985</v>
      </c>
      <c r="D26" s="61">
        <v>2594989</v>
      </c>
    </row>
    <row r="27" spans="1:4" s="10" customFormat="1" ht="17.25" customHeight="1">
      <c r="A27" s="59">
        <v>2019</v>
      </c>
      <c r="B27" s="61">
        <v>4891951</v>
      </c>
      <c r="C27" s="61">
        <v>2322184</v>
      </c>
      <c r="D27" s="61">
        <v>2586586</v>
      </c>
    </row>
    <row r="28" spans="1:4" s="10" customFormat="1" ht="17.25" customHeight="1">
      <c r="A28" s="63">
        <v>2020</v>
      </c>
      <c r="B28" s="332">
        <v>4703981</v>
      </c>
      <c r="C28" s="332">
        <v>2203313</v>
      </c>
      <c r="D28" s="332">
        <v>2479752</v>
      </c>
    </row>
    <row r="29" spans="1:4" s="10" customFormat="1" ht="17.25" customHeight="1">
      <c r="A29" s="67" t="s">
        <v>68</v>
      </c>
    </row>
    <row r="39" spans="9:12" ht="17.25" customHeight="1">
      <c r="I39" s="7"/>
      <c r="J39" s="8"/>
      <c r="K39" s="8"/>
      <c r="L39" s="8"/>
    </row>
    <row r="40" spans="9:12" ht="17.25" customHeight="1">
      <c r="I40" s="7"/>
      <c r="J40" s="8"/>
      <c r="K40" s="8"/>
      <c r="L40" s="8"/>
    </row>
    <row r="41" spans="9:12" ht="17.25" customHeight="1">
      <c r="I41" s="7"/>
      <c r="J41" s="8"/>
      <c r="K41" s="8"/>
      <c r="L41" s="8"/>
    </row>
    <row r="42" spans="9:12" ht="17.25" customHeight="1">
      <c r="I42" s="7"/>
      <c r="J42" s="8"/>
      <c r="K42" s="8"/>
      <c r="L42" s="8"/>
    </row>
    <row r="43" spans="9:12" ht="17.25" customHeight="1">
      <c r="I43" s="7"/>
      <c r="J43" s="8"/>
      <c r="K43" s="8"/>
      <c r="L43" s="8"/>
    </row>
    <row r="44" spans="9:12" ht="17.25" customHeight="1">
      <c r="I44" s="7"/>
      <c r="J44" s="8"/>
      <c r="K44" s="8"/>
      <c r="L44" s="8"/>
    </row>
    <row r="45" spans="9:12" ht="17.25" customHeight="1">
      <c r="I45" s="7"/>
      <c r="J45" s="8"/>
      <c r="K45" s="8"/>
      <c r="L45" s="8"/>
    </row>
    <row r="46" spans="9:12" ht="17.25" customHeight="1">
      <c r="I46" s="7"/>
      <c r="J46" s="8"/>
      <c r="K46" s="8"/>
      <c r="L46" s="8"/>
    </row>
    <row r="47" spans="9:12" ht="17.25" customHeight="1">
      <c r="I47" s="7"/>
      <c r="J47" s="8"/>
      <c r="K47" s="8"/>
      <c r="L47" s="8"/>
    </row>
    <row r="48" spans="9:12" ht="17.25" customHeight="1">
      <c r="I48" s="7"/>
      <c r="J48" s="8"/>
      <c r="K48" s="8"/>
      <c r="L48" s="8"/>
    </row>
    <row r="49" spans="9:12" ht="17.25" customHeight="1">
      <c r="I49" s="7"/>
      <c r="J49" s="8"/>
      <c r="K49" s="8"/>
      <c r="L49" s="8"/>
    </row>
    <row r="50" spans="9:12" ht="17.25" customHeight="1">
      <c r="I50" s="7"/>
      <c r="J50" s="8"/>
      <c r="K50" s="8"/>
      <c r="L50" s="8"/>
    </row>
    <row r="51" spans="9:12" ht="17.25" customHeight="1">
      <c r="I51" s="7"/>
      <c r="J51" s="8"/>
      <c r="K51" s="8"/>
      <c r="L51" s="8"/>
    </row>
    <row r="52" spans="9:12" ht="17.25" customHeight="1">
      <c r="I52" s="7"/>
      <c r="J52" s="8"/>
      <c r="K52" s="8"/>
      <c r="L52" s="8"/>
    </row>
    <row r="53" spans="9:12" ht="17.25" customHeight="1">
      <c r="I53" s="7"/>
      <c r="J53" s="8"/>
      <c r="K53" s="8"/>
      <c r="L53" s="8"/>
    </row>
    <row r="54" spans="9:12" ht="17.25" customHeight="1">
      <c r="I54" s="7"/>
      <c r="J54" s="8"/>
      <c r="K54" s="8"/>
      <c r="L54" s="8"/>
    </row>
    <row r="55" spans="9:12" ht="17.25" customHeight="1">
      <c r="I55" s="7"/>
      <c r="J55" s="8"/>
      <c r="K55" s="8"/>
      <c r="L55" s="8"/>
    </row>
    <row r="56" spans="9:12" ht="17.25" customHeight="1">
      <c r="I56" s="7"/>
      <c r="J56" s="8"/>
      <c r="K56" s="8"/>
      <c r="L56" s="8"/>
    </row>
    <row r="57" spans="9:12" ht="17.25" customHeight="1">
      <c r="I57" s="7"/>
      <c r="J57" s="8"/>
      <c r="K57" s="8"/>
      <c r="L57" s="8"/>
    </row>
  </sheetData>
  <mergeCells count="3">
    <mergeCell ref="A4:D4"/>
    <mergeCell ref="A3:D3"/>
    <mergeCell ref="A2:D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zoomScaleNormal="100" zoomScaleSheetLayoutView="100" workbookViewId="0">
      <selection activeCell="H38" sqref="H38"/>
    </sheetView>
  </sheetViews>
  <sheetFormatPr defaultColWidth="9.1640625" defaultRowHeight="17.25" customHeight="1"/>
  <cols>
    <col min="1" max="1" width="16.6640625" style="68" customWidth="1"/>
    <col min="2" max="5" width="21.6640625" style="68" customWidth="1"/>
    <col min="6" max="14" width="12" style="68" customWidth="1"/>
    <col min="15" max="16384" width="9.1640625" style="68"/>
  </cols>
  <sheetData>
    <row r="1" spans="1:6" s="10" customFormat="1" ht="17.25" customHeight="1"/>
    <row r="2" spans="1:6" s="10" customFormat="1" ht="17.25" customHeight="1">
      <c r="A2" s="571" t="s">
        <v>70</v>
      </c>
      <c r="B2" s="571"/>
      <c r="C2" s="571"/>
      <c r="D2" s="571"/>
      <c r="E2" s="571"/>
    </row>
    <row r="3" spans="1:6" s="10" customFormat="1" ht="33.75" customHeight="1">
      <c r="A3" s="572" t="s">
        <v>296</v>
      </c>
      <c r="B3" s="572"/>
      <c r="C3" s="572"/>
      <c r="D3" s="572"/>
      <c r="E3" s="572"/>
      <c r="F3" s="72"/>
    </row>
    <row r="4" spans="1:6" s="10" customFormat="1" ht="17.25" customHeight="1">
      <c r="A4" s="571" t="s">
        <v>72</v>
      </c>
      <c r="B4" s="571"/>
      <c r="C4" s="571"/>
      <c r="D4" s="571"/>
      <c r="E4" s="571"/>
      <c r="F4" s="72"/>
    </row>
    <row r="5" spans="1:6" s="10" customFormat="1" ht="17.25" customHeight="1">
      <c r="F5" s="72"/>
    </row>
    <row r="6" spans="1:6" s="10" customFormat="1" ht="30">
      <c r="A6" s="482" t="s">
        <v>139</v>
      </c>
      <c r="B6" s="73" t="s">
        <v>62</v>
      </c>
      <c r="C6" s="73" t="s">
        <v>76</v>
      </c>
      <c r="D6" s="73" t="s">
        <v>158</v>
      </c>
      <c r="E6" s="74" t="s">
        <v>74</v>
      </c>
      <c r="F6" s="72"/>
    </row>
    <row r="7" spans="1:6" s="10" customFormat="1" ht="17.25" customHeight="1">
      <c r="A7" s="69" t="s">
        <v>140</v>
      </c>
      <c r="B7" s="61">
        <v>1171534</v>
      </c>
      <c r="C7" s="61">
        <v>286909</v>
      </c>
      <c r="D7" s="61">
        <v>136695</v>
      </c>
      <c r="E7" s="61">
        <v>156026</v>
      </c>
      <c r="F7" s="72"/>
    </row>
    <row r="8" spans="1:6" s="10" customFormat="1" ht="17.25" customHeight="1">
      <c r="A8" s="69" t="s">
        <v>141</v>
      </c>
      <c r="B8" s="61">
        <v>1288515</v>
      </c>
      <c r="C8" s="61">
        <v>331808</v>
      </c>
      <c r="D8" s="61">
        <v>153324</v>
      </c>
      <c r="E8" s="61">
        <v>173277</v>
      </c>
      <c r="F8" s="72"/>
    </row>
    <row r="9" spans="1:6" s="10" customFormat="1" ht="17.25" customHeight="1">
      <c r="A9" s="69" t="s">
        <v>142</v>
      </c>
      <c r="B9" s="61">
        <v>1401481</v>
      </c>
      <c r="C9" s="61">
        <v>352313</v>
      </c>
      <c r="D9" s="61">
        <v>164543</v>
      </c>
      <c r="E9" s="61">
        <v>185271</v>
      </c>
      <c r="F9" s="72"/>
    </row>
    <row r="10" spans="1:6" s="10" customFormat="1" ht="17.25" customHeight="1">
      <c r="A10" s="69" t="s">
        <v>143</v>
      </c>
      <c r="B10" s="61">
        <v>1652771</v>
      </c>
      <c r="C10" s="61">
        <v>412597</v>
      </c>
      <c r="D10" s="61">
        <v>167131</v>
      </c>
      <c r="E10" s="61">
        <v>185065</v>
      </c>
      <c r="F10" s="72"/>
    </row>
    <row r="11" spans="1:6" s="10" customFormat="1" ht="17.25" customHeight="1">
      <c r="A11" s="69" t="s">
        <v>133</v>
      </c>
      <c r="B11" s="61">
        <v>1651336</v>
      </c>
      <c r="C11" s="61">
        <v>401088</v>
      </c>
      <c r="D11" s="61">
        <v>196712</v>
      </c>
      <c r="E11" s="61">
        <v>220470</v>
      </c>
      <c r="F11" s="72"/>
    </row>
    <row r="12" spans="1:6" s="10" customFormat="1" ht="17.25" customHeight="1">
      <c r="A12" s="69" t="s">
        <v>144</v>
      </c>
      <c r="B12" s="61">
        <v>1885742</v>
      </c>
      <c r="C12" s="61">
        <v>465712</v>
      </c>
      <c r="D12" s="61">
        <v>215663</v>
      </c>
      <c r="E12" s="61">
        <v>245389</v>
      </c>
      <c r="F12" s="72"/>
    </row>
    <row r="13" spans="1:6" s="10" customFormat="1" ht="17.25" customHeight="1">
      <c r="A13" s="69" t="s">
        <v>145</v>
      </c>
      <c r="B13" s="61">
        <v>1807397</v>
      </c>
      <c r="C13" s="61">
        <v>449347</v>
      </c>
      <c r="D13" s="61">
        <v>217642</v>
      </c>
      <c r="E13" s="61">
        <v>246309</v>
      </c>
      <c r="F13" s="72"/>
    </row>
    <row r="14" spans="1:6" s="10" customFormat="1" ht="17.25" customHeight="1">
      <c r="A14" s="69" t="s">
        <v>146</v>
      </c>
      <c r="B14" s="61">
        <v>1863309</v>
      </c>
      <c r="C14" s="61">
        <v>459679</v>
      </c>
      <c r="D14" s="61">
        <v>212760</v>
      </c>
      <c r="E14" s="61">
        <v>237582</v>
      </c>
      <c r="F14" s="72"/>
    </row>
    <row r="15" spans="1:6" s="10" customFormat="1" ht="17.25" customHeight="1">
      <c r="A15" s="69" t="s">
        <v>147</v>
      </c>
      <c r="B15" s="61">
        <v>1869256</v>
      </c>
      <c r="C15" s="61">
        <v>466050</v>
      </c>
      <c r="D15" s="61">
        <v>210760</v>
      </c>
      <c r="E15" s="61">
        <v>237288</v>
      </c>
    </row>
    <row r="16" spans="1:6" s="10" customFormat="1" ht="17.25" customHeight="1">
      <c r="A16" s="69" t="s">
        <v>148</v>
      </c>
      <c r="B16" s="61">
        <v>1724559</v>
      </c>
      <c r="C16" s="61">
        <v>418121</v>
      </c>
      <c r="D16" s="61">
        <v>214845</v>
      </c>
      <c r="E16" s="61">
        <v>239939</v>
      </c>
    </row>
    <row r="17" spans="1:5" s="10" customFormat="1" ht="17.25" customHeight="1">
      <c r="A17" s="69" t="s">
        <v>149</v>
      </c>
      <c r="B17" s="61">
        <v>1491074</v>
      </c>
      <c r="C17" s="61">
        <v>350144</v>
      </c>
      <c r="D17" s="61">
        <v>171671</v>
      </c>
      <c r="E17" s="61">
        <v>194691</v>
      </c>
    </row>
    <row r="18" spans="1:5" s="10" customFormat="1" ht="17.25" customHeight="1">
      <c r="A18" s="69" t="s">
        <v>150</v>
      </c>
      <c r="B18" s="61">
        <v>1333639</v>
      </c>
      <c r="C18" s="61">
        <v>310213</v>
      </c>
      <c r="D18" s="61">
        <v>141567</v>
      </c>
      <c r="E18" s="61">
        <v>158445</v>
      </c>
    </row>
    <row r="19" spans="1:5" s="10" customFormat="1" ht="17.25" customHeight="1">
      <c r="A19" s="70" t="s">
        <v>151</v>
      </c>
      <c r="B19" s="333">
        <v>19140613</v>
      </c>
      <c r="C19" s="333">
        <v>4703981</v>
      </c>
      <c r="D19" s="333">
        <v>2203313</v>
      </c>
      <c r="E19" s="333">
        <v>2479752</v>
      </c>
    </row>
    <row r="20" spans="1:5" s="10" customFormat="1" ht="17.25" customHeight="1">
      <c r="A20" s="75" t="s">
        <v>68</v>
      </c>
    </row>
    <row r="21" spans="1:5" s="10" customFormat="1" ht="17.25" customHeight="1"/>
  </sheetData>
  <mergeCells count="3">
    <mergeCell ref="A2:E2"/>
    <mergeCell ref="A3:E3"/>
    <mergeCell ref="A4:E4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view="pageBreakPreview" zoomScaleNormal="100" zoomScaleSheetLayoutView="100" workbookViewId="0">
      <selection activeCell="H38" sqref="H38"/>
    </sheetView>
  </sheetViews>
  <sheetFormatPr defaultRowHeight="15"/>
  <cols>
    <col min="1" max="1" width="23.83203125" style="532" customWidth="1"/>
    <col min="2" max="8" width="22.6640625" style="532" customWidth="1"/>
    <col min="9" max="16384" width="9.33203125" style="532"/>
  </cols>
  <sheetData>
    <row r="2" spans="1:10">
      <c r="A2" s="573" t="s">
        <v>73</v>
      </c>
      <c r="B2" s="573"/>
      <c r="C2" s="573"/>
      <c r="D2" s="573"/>
      <c r="E2" s="573"/>
      <c r="F2" s="573"/>
      <c r="G2" s="573"/>
      <c r="H2" s="573"/>
      <c r="I2" s="514"/>
      <c r="J2" s="514"/>
    </row>
    <row r="3" spans="1:10">
      <c r="A3" s="566" t="s">
        <v>363</v>
      </c>
      <c r="B3" s="566"/>
      <c r="C3" s="566"/>
      <c r="D3" s="566"/>
      <c r="E3" s="566"/>
      <c r="F3" s="566"/>
      <c r="G3" s="566"/>
      <c r="H3" s="566"/>
    </row>
    <row r="4" spans="1:10">
      <c r="A4" s="566" t="s">
        <v>72</v>
      </c>
      <c r="B4" s="566"/>
      <c r="C4" s="566"/>
      <c r="D4" s="566"/>
      <c r="E4" s="566"/>
      <c r="F4" s="566"/>
      <c r="G4" s="566"/>
      <c r="H4" s="566"/>
    </row>
    <row r="5" spans="1:10" ht="15.75">
      <c r="A5" s="533"/>
      <c r="B5" s="534"/>
      <c r="C5" s="534"/>
      <c r="D5" s="534"/>
      <c r="E5" s="534"/>
      <c r="F5" s="534"/>
    </row>
    <row r="6" spans="1:10">
      <c r="A6" s="535" t="s">
        <v>60</v>
      </c>
      <c r="B6" s="509" t="s">
        <v>364</v>
      </c>
      <c r="C6" s="509" t="s">
        <v>365</v>
      </c>
      <c r="D6" s="509" t="s">
        <v>366</v>
      </c>
      <c r="E6" s="509" t="s">
        <v>367</v>
      </c>
      <c r="F6" s="509" t="s">
        <v>368</v>
      </c>
      <c r="G6" s="509" t="s">
        <v>369</v>
      </c>
      <c r="H6" s="509" t="s">
        <v>370</v>
      </c>
    </row>
    <row r="7" spans="1:10">
      <c r="A7" s="536">
        <v>2014</v>
      </c>
      <c r="B7" s="537">
        <v>102600</v>
      </c>
      <c r="C7" s="537">
        <v>386454</v>
      </c>
      <c r="D7" s="537">
        <v>14197155</v>
      </c>
      <c r="E7" s="537">
        <v>9930323</v>
      </c>
      <c r="F7" s="537">
        <v>2721517</v>
      </c>
      <c r="G7" s="537">
        <v>669619</v>
      </c>
      <c r="H7" s="537">
        <v>609667</v>
      </c>
    </row>
    <row r="8" spans="1:10">
      <c r="A8" s="536">
        <v>2015</v>
      </c>
      <c r="B8" s="537">
        <v>68338</v>
      </c>
      <c r="C8" s="537">
        <v>308305</v>
      </c>
      <c r="D8" s="537">
        <v>13594071</v>
      </c>
      <c r="E8" s="537">
        <v>9571152</v>
      </c>
      <c r="F8" s="537">
        <v>2595821</v>
      </c>
      <c r="G8" s="537">
        <v>649459</v>
      </c>
      <c r="H8" s="537">
        <v>586231</v>
      </c>
    </row>
    <row r="9" spans="1:10">
      <c r="A9" s="536">
        <v>2016</v>
      </c>
      <c r="B9" s="537">
        <v>47228</v>
      </c>
      <c r="C9" s="537">
        <v>381120</v>
      </c>
      <c r="D9" s="537">
        <v>13276392</v>
      </c>
      <c r="E9" s="537">
        <v>9594066</v>
      </c>
      <c r="F9" s="537">
        <v>2634805</v>
      </c>
      <c r="G9" s="537">
        <v>620930</v>
      </c>
      <c r="H9" s="537">
        <v>669886</v>
      </c>
    </row>
    <row r="10" spans="1:10">
      <c r="A10" s="536">
        <v>2017</v>
      </c>
      <c r="B10" s="537">
        <v>90802</v>
      </c>
      <c r="C10" s="537">
        <v>493122</v>
      </c>
      <c r="D10" s="537">
        <v>14902376</v>
      </c>
      <c r="E10" s="537">
        <v>10676231</v>
      </c>
      <c r="F10" s="537">
        <v>2871296</v>
      </c>
      <c r="G10" s="537">
        <v>765710</v>
      </c>
      <c r="H10" s="537">
        <v>547664</v>
      </c>
    </row>
    <row r="11" spans="1:10">
      <c r="A11" s="536">
        <v>2018</v>
      </c>
      <c r="B11" s="537">
        <v>91758</v>
      </c>
      <c r="C11" s="537">
        <v>588373</v>
      </c>
      <c r="D11" s="537">
        <v>14940967</v>
      </c>
      <c r="E11" s="537">
        <v>10594491</v>
      </c>
      <c r="F11" s="537">
        <v>2966425</v>
      </c>
      <c r="G11" s="537">
        <v>782048</v>
      </c>
      <c r="H11" s="537">
        <v>558317</v>
      </c>
    </row>
    <row r="12" spans="1:10">
      <c r="A12" s="536">
        <v>2019</v>
      </c>
      <c r="B12" s="537">
        <v>54180</v>
      </c>
      <c r="C12" s="537">
        <v>449211</v>
      </c>
      <c r="D12" s="537">
        <v>16389937</v>
      </c>
      <c r="E12" s="537">
        <v>11460256</v>
      </c>
      <c r="F12" s="537">
        <v>3217042</v>
      </c>
      <c r="G12" s="537">
        <v>820360</v>
      </c>
      <c r="H12" s="537">
        <v>574488</v>
      </c>
    </row>
    <row r="13" spans="1:10">
      <c r="A13" s="536">
        <v>2020</v>
      </c>
      <c r="B13" s="537">
        <v>49534</v>
      </c>
      <c r="C13" s="537">
        <v>516704</v>
      </c>
      <c r="D13" s="537">
        <v>14229304</v>
      </c>
      <c r="E13" s="537">
        <v>10118797</v>
      </c>
      <c r="F13" s="537">
        <v>2858586</v>
      </c>
      <c r="G13" s="537">
        <v>696780</v>
      </c>
      <c r="H13" s="537">
        <v>414546</v>
      </c>
    </row>
    <row r="14" spans="1:10">
      <c r="A14" s="538" t="s">
        <v>388</v>
      </c>
      <c r="B14" s="534"/>
      <c r="C14" s="534"/>
      <c r="D14" s="534"/>
      <c r="E14" s="534"/>
      <c r="F14" s="534"/>
    </row>
    <row r="15" spans="1:10">
      <c r="A15" s="504" t="s">
        <v>371</v>
      </c>
      <c r="B15" s="534"/>
      <c r="C15" s="534"/>
      <c r="D15" s="534"/>
      <c r="E15" s="534"/>
      <c r="F15" s="534"/>
    </row>
    <row r="16" spans="1:10">
      <c r="A16" s="539" t="s">
        <v>391</v>
      </c>
      <c r="B16" s="534"/>
      <c r="C16" s="534"/>
      <c r="D16" s="534"/>
      <c r="E16" s="534"/>
      <c r="F16" s="534"/>
    </row>
    <row r="17" spans="1:6">
      <c r="A17" s="539" t="s">
        <v>392</v>
      </c>
      <c r="B17" s="534"/>
      <c r="C17" s="534"/>
      <c r="D17" s="534"/>
      <c r="E17" s="534"/>
      <c r="F17" s="534"/>
    </row>
    <row r="18" spans="1:6">
      <c r="A18" s="540" t="s">
        <v>393</v>
      </c>
      <c r="B18" s="534"/>
      <c r="C18" s="534"/>
      <c r="D18" s="534"/>
      <c r="E18" s="534"/>
      <c r="F18" s="534"/>
    </row>
  </sheetData>
  <mergeCells count="3">
    <mergeCell ref="A4:H4"/>
    <mergeCell ref="A3:H3"/>
    <mergeCell ref="A2:H2"/>
  </mergeCells>
  <printOptions horizontalCentered="1"/>
  <pageMargins left="0" right="0" top="0" bottom="0" header="0" footer="0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view="pageBreakPreview" zoomScaleNormal="100" zoomScaleSheetLayoutView="100" workbookViewId="0">
      <selection activeCell="H38" sqref="H38"/>
    </sheetView>
  </sheetViews>
  <sheetFormatPr defaultRowHeight="14.25"/>
  <cols>
    <col min="1" max="1" width="18.83203125" style="517" customWidth="1"/>
    <col min="2" max="2" width="6.83203125" style="517" bestFit="1" customWidth="1"/>
    <col min="3" max="3" width="29.33203125" style="517" bestFit="1" customWidth="1"/>
    <col min="4" max="4" width="6.83203125" style="517" bestFit="1" customWidth="1"/>
    <col min="5" max="5" width="29.33203125" style="517" bestFit="1" customWidth="1"/>
    <col min="6" max="6" width="5.83203125" style="517" bestFit="1" customWidth="1"/>
    <col min="7" max="7" width="29.33203125" style="517" bestFit="1" customWidth="1"/>
    <col min="8" max="8" width="6.83203125" style="517" bestFit="1" customWidth="1"/>
    <col min="9" max="9" width="29.33203125" style="517" bestFit="1" customWidth="1"/>
    <col min="10" max="16384" width="9.33203125" style="517"/>
  </cols>
  <sheetData>
    <row r="2" spans="1:9" ht="15">
      <c r="A2" s="573" t="s">
        <v>75</v>
      </c>
      <c r="B2" s="573"/>
      <c r="C2" s="573"/>
      <c r="D2" s="573"/>
      <c r="E2" s="573"/>
      <c r="F2" s="573"/>
      <c r="G2" s="573"/>
      <c r="H2" s="573"/>
      <c r="I2" s="573"/>
    </row>
    <row r="3" spans="1:9" s="524" customFormat="1" ht="18">
      <c r="A3" s="574" t="s">
        <v>395</v>
      </c>
      <c r="B3" s="574"/>
      <c r="C3" s="574"/>
      <c r="D3" s="574"/>
      <c r="E3" s="574"/>
      <c r="F3" s="574"/>
      <c r="G3" s="574"/>
      <c r="H3" s="574"/>
      <c r="I3" s="574"/>
    </row>
    <row r="4" spans="1:9" ht="15">
      <c r="A4" s="574" t="s">
        <v>372</v>
      </c>
      <c r="B4" s="574"/>
      <c r="C4" s="574"/>
      <c r="D4" s="574"/>
      <c r="E4" s="574"/>
      <c r="F4" s="574"/>
      <c r="G4" s="574"/>
      <c r="H4" s="574"/>
      <c r="I4" s="574"/>
    </row>
    <row r="5" spans="1:9" ht="15.75">
      <c r="A5" s="525"/>
    </row>
    <row r="6" spans="1:9" ht="15.75" customHeight="1">
      <c r="A6" s="575" t="s">
        <v>373</v>
      </c>
      <c r="B6" s="576" t="s">
        <v>295</v>
      </c>
      <c r="C6" s="577"/>
      <c r="D6" s="576" t="s">
        <v>82</v>
      </c>
      <c r="E6" s="577"/>
      <c r="F6" s="576" t="s">
        <v>85</v>
      </c>
      <c r="G6" s="577"/>
      <c r="H6" s="576" t="s">
        <v>1</v>
      </c>
      <c r="I6" s="577"/>
    </row>
    <row r="7" spans="1:9" ht="15.75" customHeight="1">
      <c r="A7" s="575"/>
      <c r="B7" s="526" t="s">
        <v>374</v>
      </c>
      <c r="C7" s="526" t="s">
        <v>375</v>
      </c>
      <c r="D7" s="526" t="s">
        <v>374</v>
      </c>
      <c r="E7" s="526" t="s">
        <v>375</v>
      </c>
      <c r="F7" s="526" t="s">
        <v>374</v>
      </c>
      <c r="G7" s="526" t="s">
        <v>375</v>
      </c>
      <c r="H7" s="526" t="s">
        <v>374</v>
      </c>
      <c r="I7" s="526" t="s">
        <v>375</v>
      </c>
    </row>
    <row r="8" spans="1:9">
      <c r="A8" s="527" t="s">
        <v>376</v>
      </c>
      <c r="B8" s="528">
        <v>242</v>
      </c>
      <c r="C8" s="528">
        <v>58155680</v>
      </c>
      <c r="D8" s="528">
        <v>132</v>
      </c>
      <c r="E8" s="528">
        <v>34650070</v>
      </c>
      <c r="F8" s="528">
        <v>83</v>
      </c>
      <c r="G8" s="528">
        <v>24006000</v>
      </c>
      <c r="H8" s="528">
        <v>457</v>
      </c>
      <c r="I8" s="528">
        <v>116811750</v>
      </c>
    </row>
    <row r="9" spans="1:9">
      <c r="A9" s="527" t="s">
        <v>377</v>
      </c>
      <c r="B9" s="528">
        <v>26</v>
      </c>
      <c r="C9" s="528">
        <v>4397500</v>
      </c>
      <c r="D9" s="528">
        <v>12</v>
      </c>
      <c r="E9" s="528">
        <v>2072200</v>
      </c>
      <c r="F9" s="528">
        <v>4</v>
      </c>
      <c r="G9" s="528">
        <v>697200</v>
      </c>
      <c r="H9" s="528">
        <v>42</v>
      </c>
      <c r="I9" s="528">
        <v>7166900</v>
      </c>
    </row>
    <row r="10" spans="1:9">
      <c r="A10" s="527" t="s">
        <v>378</v>
      </c>
      <c r="B10" s="528">
        <v>35</v>
      </c>
      <c r="C10" s="528">
        <v>14840200</v>
      </c>
      <c r="D10" s="528">
        <v>9</v>
      </c>
      <c r="E10" s="528">
        <v>7238000</v>
      </c>
      <c r="F10" s="528">
        <v>6</v>
      </c>
      <c r="G10" s="528">
        <v>3275000</v>
      </c>
      <c r="H10" s="528">
        <v>50</v>
      </c>
      <c r="I10" s="528">
        <v>25353200</v>
      </c>
    </row>
    <row r="11" spans="1:9">
      <c r="A11" s="527" t="s">
        <v>379</v>
      </c>
      <c r="B11" s="528">
        <v>20</v>
      </c>
      <c r="C11" s="528">
        <v>2629941</v>
      </c>
      <c r="D11" s="529" t="s">
        <v>352</v>
      </c>
      <c r="E11" s="529" t="s">
        <v>352</v>
      </c>
      <c r="F11" s="529" t="s">
        <v>352</v>
      </c>
      <c r="G11" s="529" t="s">
        <v>352</v>
      </c>
      <c r="H11" s="528">
        <v>20</v>
      </c>
      <c r="I11" s="528">
        <v>2629941</v>
      </c>
    </row>
    <row r="12" spans="1:9">
      <c r="A12" s="504" t="s">
        <v>388</v>
      </c>
    </row>
    <row r="13" spans="1:9">
      <c r="A13" s="522" t="s">
        <v>380</v>
      </c>
    </row>
    <row r="14" spans="1:9">
      <c r="A14" s="530" t="s">
        <v>389</v>
      </c>
    </row>
    <row r="15" spans="1:9">
      <c r="A15" s="530" t="s">
        <v>390</v>
      </c>
    </row>
    <row r="16" spans="1:9" ht="15">
      <c r="A16" s="531" t="s">
        <v>381</v>
      </c>
    </row>
  </sheetData>
  <mergeCells count="8">
    <mergeCell ref="A4:I4"/>
    <mergeCell ref="A3:I3"/>
    <mergeCell ref="A2:I2"/>
    <mergeCell ref="A6:A7"/>
    <mergeCell ref="B6:C6"/>
    <mergeCell ref="D6:E6"/>
    <mergeCell ref="F6:G6"/>
    <mergeCell ref="H6:I6"/>
  </mergeCells>
  <printOptions horizontalCentered="1"/>
  <pageMargins left="0" right="0" top="0" bottom="0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49</vt:i4>
      </vt:variant>
    </vt:vector>
  </HeadingPairs>
  <TitlesOfParts>
    <vt:vector size="90" baseType="lpstr">
      <vt:lpstr>2-1 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2-25</vt:lpstr>
      <vt:lpstr>2-26</vt:lpstr>
      <vt:lpstr>2-27</vt:lpstr>
      <vt:lpstr>2-28</vt:lpstr>
      <vt:lpstr>2-29</vt:lpstr>
      <vt:lpstr>2-30</vt:lpstr>
      <vt:lpstr>2-31</vt:lpstr>
      <vt:lpstr>2-32</vt:lpstr>
      <vt:lpstr>2-33</vt:lpstr>
      <vt:lpstr>2-34</vt:lpstr>
      <vt:lpstr>2-35</vt:lpstr>
      <vt:lpstr>2-36</vt:lpstr>
      <vt:lpstr>2-37</vt:lpstr>
      <vt:lpstr>2-38</vt:lpstr>
      <vt:lpstr>2-39</vt:lpstr>
      <vt:lpstr>2-40</vt:lpstr>
      <vt:lpstr>2-41</vt:lpstr>
      <vt:lpstr>'2-18'!_4Excel_BuiltIn_Print_Area_1_1</vt:lpstr>
      <vt:lpstr>'2-22'!_5Excel_BuiltIn_Print_Area_1_1</vt:lpstr>
      <vt:lpstr>'2-35'!_6Excel_BuiltIn_Print_Area_1_1</vt:lpstr>
      <vt:lpstr>'2-41'!_7Excel_BuiltIn_Print_Area_1_1</vt:lpstr>
      <vt:lpstr>'2-35'!_C</vt:lpstr>
      <vt:lpstr>'2-18'!_P</vt:lpstr>
      <vt:lpstr>'2-22'!_P</vt:lpstr>
      <vt:lpstr>'2-14'!Excel_BuiltIn_Print_Area_1</vt:lpstr>
      <vt:lpstr>'2-18'!Excel_BuiltIn_Print_Area_1</vt:lpstr>
      <vt:lpstr>'2-14'!Excel_BuiltIn_Print_Area_1_1</vt:lpstr>
      <vt:lpstr>'2-18'!Excel_BuiltIn_Print_Area_1_1</vt:lpstr>
      <vt:lpstr>'2-22'!Excel_BuiltIn_Print_Area_1_1</vt:lpstr>
      <vt:lpstr>'2-14'!Excel_BuiltIn_Print_Area_1_1_1</vt:lpstr>
      <vt:lpstr>'2-18'!Excel_BuiltIn_Print_Area_1_1_1</vt:lpstr>
      <vt:lpstr>'2-1 '!Print_Area</vt:lpstr>
      <vt:lpstr>'2-12'!Print_Area</vt:lpstr>
      <vt:lpstr>'2-13'!Print_Area</vt:lpstr>
      <vt:lpstr>'2-14'!Print_Area</vt:lpstr>
      <vt:lpstr>'2-15'!Print_Area</vt:lpstr>
      <vt:lpstr>'2-17'!Print_Area</vt:lpstr>
      <vt:lpstr>'2-18'!Print_Area</vt:lpstr>
      <vt:lpstr>'2-19'!Print_Area</vt:lpstr>
      <vt:lpstr>'2-2'!Print_Area</vt:lpstr>
      <vt:lpstr>'2-20'!Print_Area</vt:lpstr>
      <vt:lpstr>'2-21'!Print_Area</vt:lpstr>
      <vt:lpstr>'2-22'!Print_Area</vt:lpstr>
      <vt:lpstr>'2-23'!Print_Area</vt:lpstr>
      <vt:lpstr>'2-24'!Print_Area</vt:lpstr>
      <vt:lpstr>'2-25'!Print_Area</vt:lpstr>
      <vt:lpstr>'2-26'!Print_Area</vt:lpstr>
      <vt:lpstr>'2-27'!Print_Area</vt:lpstr>
      <vt:lpstr>'2-28'!Print_Area</vt:lpstr>
      <vt:lpstr>'2-29'!Print_Area</vt:lpstr>
      <vt:lpstr>'2-3'!Print_Area</vt:lpstr>
      <vt:lpstr>'2-30'!Print_Area</vt:lpstr>
      <vt:lpstr>'2-31'!Print_Area</vt:lpstr>
      <vt:lpstr>'2-32'!Print_Area</vt:lpstr>
      <vt:lpstr>'2-33'!Print_Area</vt:lpstr>
      <vt:lpstr>'2-34'!Print_Area</vt:lpstr>
      <vt:lpstr>'2-35'!Print_Area</vt:lpstr>
      <vt:lpstr>'2-36'!Print_Area</vt:lpstr>
      <vt:lpstr>'2-37'!Print_Area</vt:lpstr>
      <vt:lpstr>'2-38'!Print_Area</vt:lpstr>
      <vt:lpstr>'2-39'!Print_Area</vt:lpstr>
      <vt:lpstr>'2-40'!Print_Area</vt:lpstr>
      <vt:lpstr>'2-41'!Print_Area</vt:lpstr>
      <vt:lpstr>'2-5'!Print_Area</vt:lpstr>
      <vt:lpstr>'2-6'!Print_Area</vt:lpstr>
      <vt:lpstr>'2-7'!Print_Area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Yusnita Sidi</dc:creator>
  <cp:lastModifiedBy>Muhamad Muslimat Amat Usman</cp:lastModifiedBy>
  <cp:lastPrinted>2021-03-25T08:34:22Z</cp:lastPrinted>
  <dcterms:created xsi:type="dcterms:W3CDTF">2009-01-23T07:04:21Z</dcterms:created>
  <dcterms:modified xsi:type="dcterms:W3CDTF">2021-04-16T03:51:31Z</dcterms:modified>
</cp:coreProperties>
</file>